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Foaie1" sheetId="1" r:id="rId1"/>
  </sheets>
  <externalReferences>
    <externalReference r:id="rId2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52" i="1" l="1"/>
  <c r="I252" i="1"/>
  <c r="H252" i="1"/>
  <c r="G252" i="1"/>
  <c r="F252" i="1"/>
  <c r="E252" i="1"/>
  <c r="D252" i="1"/>
  <c r="C252" i="1"/>
  <c r="J249" i="1"/>
  <c r="I249" i="1"/>
  <c r="H249" i="1"/>
  <c r="G249" i="1"/>
  <c r="F249" i="1"/>
  <c r="E249" i="1"/>
  <c r="D249" i="1"/>
  <c r="C249" i="1"/>
  <c r="J244" i="1"/>
  <c r="I244" i="1"/>
  <c r="H244" i="1"/>
  <c r="G244" i="1"/>
  <c r="F244" i="1"/>
  <c r="E244" i="1"/>
  <c r="D244" i="1"/>
  <c r="C244" i="1"/>
  <c r="E243" i="1"/>
  <c r="D243" i="1"/>
  <c r="C243" i="1"/>
  <c r="E242" i="1"/>
  <c r="D242" i="1"/>
  <c r="C242" i="1"/>
  <c r="E238" i="1"/>
  <c r="D238" i="1"/>
  <c r="C238" i="1"/>
  <c r="E237" i="1"/>
  <c r="D237" i="1"/>
  <c r="C237" i="1"/>
  <c r="E236" i="1"/>
  <c r="D236" i="1"/>
  <c r="C236" i="1"/>
  <c r="E235" i="1"/>
  <c r="D235" i="1"/>
  <c r="C235" i="1"/>
  <c r="E234" i="1"/>
  <c r="D234" i="1"/>
  <c r="C234" i="1"/>
  <c r="E233" i="1"/>
  <c r="D233" i="1"/>
  <c r="C233" i="1"/>
  <c r="E230" i="1"/>
  <c r="D230" i="1"/>
  <c r="C230" i="1"/>
  <c r="E229" i="1"/>
  <c r="D229" i="1"/>
  <c r="C229" i="1"/>
  <c r="E228" i="1"/>
  <c r="D228" i="1"/>
  <c r="C228" i="1"/>
  <c r="E227" i="1"/>
  <c r="D227" i="1"/>
  <c r="C227" i="1"/>
  <c r="C222" i="1" s="1"/>
  <c r="E226" i="1"/>
  <c r="D226" i="1"/>
  <c r="C226" i="1"/>
  <c r="E225" i="1"/>
  <c r="D225" i="1"/>
  <c r="C225" i="1"/>
  <c r="G224" i="1"/>
  <c r="E224" i="1"/>
  <c r="D224" i="1"/>
  <c r="C224" i="1"/>
  <c r="G223" i="1"/>
  <c r="E223" i="1"/>
  <c r="D223" i="1"/>
  <c r="C223" i="1"/>
  <c r="J222" i="1"/>
  <c r="I222" i="1"/>
  <c r="H222" i="1"/>
  <c r="G222" i="1"/>
  <c r="F222" i="1"/>
  <c r="E222" i="1"/>
  <c r="D222" i="1"/>
  <c r="E210" i="1"/>
  <c r="D210" i="1"/>
  <c r="C210" i="1"/>
  <c r="E209" i="1"/>
  <c r="D209" i="1"/>
  <c r="C209" i="1"/>
  <c r="E207" i="1"/>
  <c r="D207" i="1"/>
  <c r="C207" i="1"/>
  <c r="E206" i="1"/>
  <c r="D206" i="1"/>
  <c r="C206" i="1"/>
  <c r="E203" i="1"/>
  <c r="D203" i="1"/>
  <c r="C203" i="1"/>
  <c r="E202" i="1"/>
  <c r="D202" i="1"/>
  <c r="C202" i="1"/>
  <c r="C189" i="1" s="1"/>
  <c r="E200" i="1"/>
  <c r="D200" i="1"/>
  <c r="C200" i="1"/>
  <c r="E199" i="1"/>
  <c r="D199" i="1"/>
  <c r="C199" i="1"/>
  <c r="E192" i="1"/>
  <c r="D192" i="1"/>
  <c r="C192" i="1"/>
  <c r="C191" i="1"/>
  <c r="G190" i="1"/>
  <c r="E190" i="1"/>
  <c r="E189" i="1" s="1"/>
  <c r="D190" i="1"/>
  <c r="C190" i="1"/>
  <c r="J189" i="1"/>
  <c r="I189" i="1"/>
  <c r="H189" i="1"/>
  <c r="G189" i="1"/>
  <c r="F189" i="1"/>
  <c r="D189" i="1"/>
  <c r="G188" i="1"/>
  <c r="E188" i="1"/>
  <c r="E58" i="1" s="1"/>
  <c r="D188" i="1"/>
  <c r="C188" i="1"/>
  <c r="J183" i="1"/>
  <c r="I183" i="1"/>
  <c r="H183" i="1"/>
  <c r="G183" i="1"/>
  <c r="F183" i="1"/>
  <c r="E183" i="1"/>
  <c r="D183" i="1"/>
  <c r="C183" i="1"/>
  <c r="F182" i="1"/>
  <c r="F178" i="1"/>
  <c r="C173" i="1"/>
  <c r="F163" i="1"/>
  <c r="E163" i="1"/>
  <c r="D163" i="1"/>
  <c r="C163" i="1"/>
  <c r="F156" i="1"/>
  <c r="E156" i="1"/>
  <c r="D156" i="1"/>
  <c r="C156" i="1"/>
  <c r="J155" i="1"/>
  <c r="I155" i="1"/>
  <c r="H155" i="1"/>
  <c r="G155" i="1"/>
  <c r="F155" i="1"/>
  <c r="E155" i="1"/>
  <c r="D155" i="1"/>
  <c r="C155" i="1"/>
  <c r="F154" i="1"/>
  <c r="E154" i="1"/>
  <c r="D154" i="1"/>
  <c r="C154" i="1"/>
  <c r="I153" i="1"/>
  <c r="F153" i="1"/>
  <c r="E153" i="1"/>
  <c r="D153" i="1"/>
  <c r="C153" i="1"/>
  <c r="I151" i="1"/>
  <c r="F151" i="1"/>
  <c r="E151" i="1"/>
  <c r="D151" i="1"/>
  <c r="C151" i="1"/>
  <c r="I149" i="1"/>
  <c r="I142" i="1" s="1"/>
  <c r="F149" i="1"/>
  <c r="E149" i="1"/>
  <c r="D149" i="1"/>
  <c r="C149" i="1"/>
  <c r="C142" i="1" s="1"/>
  <c r="F146" i="1"/>
  <c r="E146" i="1"/>
  <c r="D146" i="1"/>
  <c r="C146" i="1"/>
  <c r="G143" i="1"/>
  <c r="F143" i="1"/>
  <c r="E143" i="1"/>
  <c r="D143" i="1"/>
  <c r="C143" i="1"/>
  <c r="J142" i="1"/>
  <c r="H142" i="1"/>
  <c r="G142" i="1"/>
  <c r="F142" i="1"/>
  <c r="E142" i="1"/>
  <c r="D142" i="1"/>
  <c r="J136" i="1"/>
  <c r="I136" i="1"/>
  <c r="H136" i="1"/>
  <c r="G136" i="1"/>
  <c r="F136" i="1"/>
  <c r="E136" i="1"/>
  <c r="D136" i="1"/>
  <c r="C136" i="1"/>
  <c r="J125" i="1"/>
  <c r="I125" i="1"/>
  <c r="H125" i="1"/>
  <c r="G125" i="1"/>
  <c r="F125" i="1"/>
  <c r="E125" i="1"/>
  <c r="D125" i="1"/>
  <c r="C125" i="1"/>
  <c r="F124" i="1"/>
  <c r="F123" i="1"/>
  <c r="F122" i="1"/>
  <c r="F121" i="1"/>
  <c r="F120" i="1"/>
  <c r="F119" i="1"/>
  <c r="F118" i="1"/>
  <c r="F117" i="1"/>
  <c r="F116" i="1"/>
  <c r="F115" i="1"/>
  <c r="J114" i="1"/>
  <c r="I114" i="1"/>
  <c r="H114" i="1"/>
  <c r="G114" i="1"/>
  <c r="F114" i="1"/>
  <c r="E114" i="1"/>
  <c r="D114" i="1"/>
  <c r="C114" i="1"/>
  <c r="F113" i="1"/>
  <c r="E113" i="1"/>
  <c r="D113" i="1"/>
  <c r="C113" i="1"/>
  <c r="F112" i="1"/>
  <c r="E112" i="1"/>
  <c r="D112" i="1"/>
  <c r="C112" i="1"/>
  <c r="F106" i="1"/>
  <c r="E106" i="1"/>
  <c r="D106" i="1"/>
  <c r="C106" i="1"/>
  <c r="F105" i="1"/>
  <c r="E105" i="1"/>
  <c r="D105" i="1"/>
  <c r="C105" i="1"/>
  <c r="I103" i="1"/>
  <c r="F103" i="1"/>
  <c r="E103" i="1"/>
  <c r="D103" i="1"/>
  <c r="C103" i="1"/>
  <c r="D102" i="1"/>
  <c r="I101" i="1"/>
  <c r="G101" i="1"/>
  <c r="F101" i="1"/>
  <c r="E101" i="1"/>
  <c r="D101" i="1"/>
  <c r="C101" i="1"/>
  <c r="F100" i="1"/>
  <c r="E100" i="1"/>
  <c r="D100" i="1"/>
  <c r="C100" i="1"/>
  <c r="F99" i="1"/>
  <c r="E99" i="1"/>
  <c r="D99" i="1"/>
  <c r="C99" i="1"/>
  <c r="F98" i="1"/>
  <c r="E98" i="1"/>
  <c r="D98" i="1"/>
  <c r="C98" i="1"/>
  <c r="F97" i="1"/>
  <c r="E97" i="1"/>
  <c r="D97" i="1"/>
  <c r="C97" i="1"/>
  <c r="I96" i="1"/>
  <c r="G96" i="1"/>
  <c r="F96" i="1"/>
  <c r="E96" i="1"/>
  <c r="D96" i="1"/>
  <c r="C96" i="1"/>
  <c r="G95" i="1"/>
  <c r="F95" i="1"/>
  <c r="E95" i="1"/>
  <c r="D95" i="1"/>
  <c r="C95" i="1"/>
  <c r="F94" i="1"/>
  <c r="E94" i="1"/>
  <c r="D94" i="1"/>
  <c r="C94" i="1"/>
  <c r="F93" i="1"/>
  <c r="E93" i="1"/>
  <c r="D93" i="1"/>
  <c r="C93" i="1"/>
  <c r="G92" i="1"/>
  <c r="F92" i="1"/>
  <c r="E92" i="1"/>
  <c r="D92" i="1"/>
  <c r="C92" i="1"/>
  <c r="I91" i="1"/>
  <c r="F91" i="1"/>
  <c r="E91" i="1"/>
  <c r="D91" i="1"/>
  <c r="C91" i="1"/>
  <c r="G90" i="1"/>
  <c r="F90" i="1"/>
  <c r="E90" i="1"/>
  <c r="D90" i="1"/>
  <c r="C90" i="1"/>
  <c r="G89" i="1"/>
  <c r="F89" i="1"/>
  <c r="E89" i="1"/>
  <c r="D89" i="1"/>
  <c r="C89" i="1"/>
  <c r="I88" i="1"/>
  <c r="G88" i="1"/>
  <c r="G77" i="1" s="1"/>
  <c r="F88" i="1"/>
  <c r="E88" i="1"/>
  <c r="D88" i="1"/>
  <c r="C88" i="1"/>
  <c r="C77" i="1" s="1"/>
  <c r="F87" i="1"/>
  <c r="F86" i="1"/>
  <c r="F85" i="1"/>
  <c r="F84" i="1"/>
  <c r="F83" i="1"/>
  <c r="F82" i="1"/>
  <c r="F81" i="1"/>
  <c r="F80" i="1"/>
  <c r="F79" i="1"/>
  <c r="F78" i="1"/>
  <c r="J77" i="1"/>
  <c r="I77" i="1"/>
  <c r="H77" i="1"/>
  <c r="F77" i="1"/>
  <c r="E77" i="1"/>
  <c r="D77" i="1"/>
  <c r="I75" i="1"/>
  <c r="G75" i="1"/>
  <c r="F75" i="1"/>
  <c r="E75" i="1"/>
  <c r="D75" i="1"/>
  <c r="C75" i="1"/>
  <c r="I74" i="1"/>
  <c r="F74" i="1"/>
  <c r="E74" i="1"/>
  <c r="D74" i="1"/>
  <c r="D60" i="1" s="1"/>
  <c r="C74" i="1"/>
  <c r="F71" i="1"/>
  <c r="E71" i="1"/>
  <c r="D71" i="1"/>
  <c r="C71" i="1"/>
  <c r="F68" i="1"/>
  <c r="E68" i="1"/>
  <c r="D68" i="1"/>
  <c r="C68" i="1"/>
  <c r="I66" i="1"/>
  <c r="E66" i="1"/>
  <c r="D66" i="1"/>
  <c r="C66" i="1"/>
  <c r="F65" i="1"/>
  <c r="F63" i="1"/>
  <c r="F62" i="1"/>
  <c r="C62" i="1"/>
  <c r="I61" i="1"/>
  <c r="G61" i="1"/>
  <c r="F61" i="1"/>
  <c r="E61" i="1"/>
  <c r="D61" i="1"/>
  <c r="C61" i="1"/>
  <c r="J60" i="1"/>
  <c r="I60" i="1"/>
  <c r="H60" i="1"/>
  <c r="G60" i="1"/>
  <c r="F60" i="1"/>
  <c r="F59" i="1" s="1"/>
  <c r="F58" i="1" s="1"/>
  <c r="E60" i="1"/>
  <c r="C60" i="1"/>
  <c r="I59" i="1"/>
  <c r="I58" i="1" s="1"/>
  <c r="G59" i="1"/>
  <c r="E59" i="1"/>
  <c r="D59" i="1"/>
  <c r="C59" i="1"/>
  <c r="J58" i="1"/>
  <c r="H58" i="1"/>
  <c r="G58" i="1"/>
  <c r="D58" i="1"/>
  <c r="C58" i="1"/>
  <c r="J54" i="1"/>
  <c r="I54" i="1"/>
  <c r="H54" i="1"/>
  <c r="G54" i="1"/>
  <c r="F54" i="1"/>
  <c r="E54" i="1"/>
  <c r="D54" i="1"/>
  <c r="C54" i="1"/>
  <c r="F53" i="1"/>
  <c r="F52" i="1"/>
  <c r="E52" i="1"/>
  <c r="D52" i="1"/>
  <c r="C52" i="1"/>
  <c r="G51" i="1"/>
  <c r="F51" i="1"/>
  <c r="F50" i="1"/>
  <c r="F48" i="1"/>
  <c r="G47" i="1"/>
  <c r="E47" i="1"/>
  <c r="E28" i="1" s="1"/>
  <c r="D47" i="1"/>
  <c r="C47" i="1"/>
  <c r="F44" i="1"/>
  <c r="F42" i="1"/>
  <c r="C41" i="1"/>
  <c r="F39" i="1"/>
  <c r="C39" i="1"/>
  <c r="F35" i="1"/>
  <c r="E35" i="1"/>
  <c r="D35" i="1"/>
  <c r="C35" i="1"/>
  <c r="F34" i="1"/>
  <c r="E34" i="1"/>
  <c r="D34" i="1"/>
  <c r="C34" i="1"/>
  <c r="F31" i="1"/>
  <c r="E31" i="1"/>
  <c r="D31" i="1"/>
  <c r="C31" i="1"/>
  <c r="J28" i="1"/>
  <c r="I28" i="1"/>
  <c r="H28" i="1"/>
  <c r="G28" i="1"/>
  <c r="F28" i="1"/>
  <c r="D28" i="1"/>
  <c r="C28" i="1"/>
  <c r="F26" i="1"/>
  <c r="E26" i="1"/>
  <c r="D26" i="1"/>
  <c r="C26" i="1"/>
  <c r="F25" i="1"/>
  <c r="F21" i="1" s="1"/>
  <c r="F17" i="1" s="1"/>
  <c r="E25" i="1"/>
  <c r="D25" i="1"/>
  <c r="C25" i="1"/>
  <c r="F23" i="1"/>
  <c r="E23" i="1"/>
  <c r="D23" i="1"/>
  <c r="F22" i="1"/>
  <c r="E22" i="1"/>
  <c r="D22" i="1"/>
  <c r="C22" i="1"/>
  <c r="J21" i="1"/>
  <c r="I21" i="1"/>
  <c r="H21" i="1"/>
  <c r="G21" i="1"/>
  <c r="E21" i="1"/>
  <c r="D21" i="1"/>
  <c r="C21" i="1"/>
  <c r="J18" i="1"/>
  <c r="I18" i="1"/>
  <c r="H18" i="1"/>
  <c r="G18" i="1"/>
  <c r="F18" i="1"/>
  <c r="E18" i="1"/>
  <c r="D18" i="1"/>
  <c r="C18" i="1"/>
  <c r="I17" i="1"/>
  <c r="G17" i="1"/>
  <c r="E17" i="1"/>
  <c r="D17" i="1"/>
  <c r="C17" i="1"/>
</calcChain>
</file>

<file path=xl/sharedStrings.xml><?xml version="1.0" encoding="utf-8"?>
<sst xmlns="http://schemas.openxmlformats.org/spreadsheetml/2006/main" count="475" uniqueCount="468">
  <si>
    <t>Formularul nr.9</t>
  </si>
  <si>
    <t>aprobat prin ordinul ministrului finanțelor</t>
  </si>
  <si>
    <t xml:space="preserve"> nr.35 din 29  martie  2023</t>
  </si>
  <si>
    <t>RAPORT</t>
  </si>
  <si>
    <t xml:space="preserve">privind executarea bugetelor autotităților/instituțiilor bugetare </t>
  </si>
  <si>
    <t>finanțate de la bugetul de stat la venituri, cheltuieli și active nefinanciare  pe anul 2022</t>
  </si>
  <si>
    <t>(mii lei)</t>
  </si>
  <si>
    <t>Denumirea</t>
  </si>
  <si>
    <t xml:space="preserve">  Cod                                          ECO   K1-K6</t>
  </si>
  <si>
    <t>Aprobat</t>
  </si>
  <si>
    <t>Precizat</t>
  </si>
  <si>
    <t>Executat</t>
  </si>
  <si>
    <t>Venituri/           cheltuieli efective</t>
  </si>
  <si>
    <t>Creanțe total</t>
  </si>
  <si>
    <t>inclusiv cu termen  expirat</t>
  </si>
  <si>
    <t>Datorii total</t>
  </si>
  <si>
    <t>inclusiv cu termen de achitare expirat (arierate)</t>
  </si>
  <si>
    <t>I. VENITURI, TOTAL</t>
  </si>
  <si>
    <t xml:space="preserve">Impozite si taxe </t>
  </si>
  <si>
    <t>Impozite si taxe pe marfuri si servicii</t>
  </si>
  <si>
    <t>114</t>
  </si>
  <si>
    <t>Plata obligatorie a producatorilor de produse vitivinicole</t>
  </si>
  <si>
    <t>114640</t>
  </si>
  <si>
    <t>Granturi primite</t>
  </si>
  <si>
    <t>Granturi primite de la guvernele altor state</t>
  </si>
  <si>
    <t>131</t>
  </si>
  <si>
    <t>Granturi curente primite de la guvernele altor state pentru proiecte finantate din surse externe pentru bugetul de stat</t>
  </si>
  <si>
    <t>131121</t>
  </si>
  <si>
    <t>Granturi capitale primite de la guvernele altor state pentru proiecte finantate din surse externe pentru bugetul de stat</t>
  </si>
  <si>
    <t>131221</t>
  </si>
  <si>
    <t>Granturi primite de la organizatiile internationale</t>
  </si>
  <si>
    <t>132</t>
  </si>
  <si>
    <t>Granturi curente primite de la organizatiile internationale pentru proiecte finantate din surse externe pentru bugetul de stat</t>
  </si>
  <si>
    <t>132121</t>
  </si>
  <si>
    <t>Granturi capitale primite de la organizatiile internationale pentru proiecte finantate din surse externe pentru bugetul de stat</t>
  </si>
  <si>
    <t>132221</t>
  </si>
  <si>
    <t xml:space="preserve">Alte venituri </t>
  </si>
  <si>
    <t>Venituri din proprietate</t>
  </si>
  <si>
    <t>141</t>
  </si>
  <si>
    <t>Dobinzi incasate la soldurile mijloacelor banesti la conturile bancare ale proiectelor finantate din surse externe conform prevederilor acordurilor</t>
  </si>
  <si>
    <t>141117</t>
  </si>
  <si>
    <t>Venituri din vinzarea marfurilor si serviciilor</t>
  </si>
  <si>
    <t>142</t>
  </si>
  <si>
    <t>Mijloace incasate la bugetul de stat in calitate de prejudicii, conform documentelor executorii, inclusiv din succesiune</t>
  </si>
  <si>
    <t>142235</t>
  </si>
  <si>
    <t>Plata lunara pentru prestarea serviciilor de telefonie mobila</t>
  </si>
  <si>
    <t>142241</t>
  </si>
  <si>
    <t>Incasari de la prestarea serviciilor cu plata</t>
  </si>
  <si>
    <t>142310</t>
  </si>
  <si>
    <t>Plata pentru locatiunea bunurilor patrimoniului public</t>
  </si>
  <si>
    <t>142320</t>
  </si>
  <si>
    <t>Alte mijloace banesti intrate legal in posesia autoritatilor/institutiilor bugetare</t>
  </si>
  <si>
    <t>142391</t>
  </si>
  <si>
    <t>Taxa de portabilitate a numerelor</t>
  </si>
  <si>
    <t>142392</t>
  </si>
  <si>
    <t>Taxa aeroportuara</t>
  </si>
  <si>
    <t>142393</t>
  </si>
  <si>
    <t>Donatii voluntare</t>
  </si>
  <si>
    <t>144</t>
  </si>
  <si>
    <t>Donatii voluntare pentru cheltuieli curente din surse interne pentru sustinerea bugetului de stat</t>
  </si>
  <si>
    <t>144111</t>
  </si>
  <si>
    <t>Donatii voluntare pentru cheltuieli curente din surse interne pentru institutiile bugetare</t>
  </si>
  <si>
    <t>144114</t>
  </si>
  <si>
    <t>Donatii voluntare pentru cheltuieli curente din surse externe pentru institutiile bugetare</t>
  </si>
  <si>
    <t>144124</t>
  </si>
  <si>
    <t>Donatii voluntare pentru cheltuieli capitale din surse interne pentru institutiile bugetare</t>
  </si>
  <si>
    <t>144214</t>
  </si>
  <si>
    <t>Donatii voluntare pentru cheltuieli capitale din surse externe pentru institutiile bugetare</t>
  </si>
  <si>
    <t>144224</t>
  </si>
  <si>
    <t>Alte venituri si venituri neidentificate</t>
  </si>
  <si>
    <t>145</t>
  </si>
  <si>
    <t>Alte venituri pentru proiecte finantate din surse externe</t>
  </si>
  <si>
    <t>145150</t>
  </si>
  <si>
    <t>Alte venituri si finantari</t>
  </si>
  <si>
    <t>149</t>
  </si>
  <si>
    <t>Venituri din realizarea activelor de catre institutii</t>
  </si>
  <si>
    <t>149100</t>
  </si>
  <si>
    <t>Venituri de la active intrate cu titlu gratuit</t>
  </si>
  <si>
    <t>149200</t>
  </si>
  <si>
    <t>Venituri din reevaluarea activelor (majorarea valorii )</t>
  </si>
  <si>
    <t>149300</t>
  </si>
  <si>
    <t>Venituri din recuperarea daunei materiale si lipsurilor</t>
  </si>
  <si>
    <t>149500</t>
  </si>
  <si>
    <t>Finantare de la buget</t>
  </si>
  <si>
    <t>149800</t>
  </si>
  <si>
    <t>Alte venituri ale institutiilor bugetare</t>
  </si>
  <si>
    <t>149900</t>
  </si>
  <si>
    <t>Transferuri primite în cadrul bugetului public naţional</t>
  </si>
  <si>
    <t>Transferuri primite intre bugetul de stat si bugetele locale</t>
  </si>
  <si>
    <t>191</t>
  </si>
  <si>
    <t>Transferuri capitale primite cu destinatie speciala intre institutiile bugetului de stat si institutiile bugetelor locale de nivelul 2</t>
  </si>
  <si>
    <t>191320</t>
  </si>
  <si>
    <t>Transferuri capitale primite cu destinatie speciala intre institutiile bugetului de stat si institutiile bugetelor localele de nivelul 1</t>
  </si>
  <si>
    <t>191420</t>
  </si>
  <si>
    <t>CHELTUIELI ȘI ACTIVE NEFINANCIARE, total</t>
  </si>
  <si>
    <t>2+3</t>
  </si>
  <si>
    <t>II. CHELTUIELI, TOTAL</t>
  </si>
  <si>
    <t>Cheltuieli de personal</t>
  </si>
  <si>
    <t>Remunerarea muncii</t>
  </si>
  <si>
    <t>211</t>
  </si>
  <si>
    <t>Salariul de baza</t>
  </si>
  <si>
    <t>211110</t>
  </si>
  <si>
    <t>Sporuri si suplimente la salariul de baza</t>
  </si>
  <si>
    <t>211120</t>
  </si>
  <si>
    <t>Ajutor material</t>
  </si>
  <si>
    <t>211130</t>
  </si>
  <si>
    <t>Premieri</t>
  </si>
  <si>
    <t>211140</t>
  </si>
  <si>
    <t>Remunerarea muncii angajatilor conform statelor</t>
  </si>
  <si>
    <t>211180</t>
  </si>
  <si>
    <t>Alte plati salariale</t>
  </si>
  <si>
    <t>211190</t>
  </si>
  <si>
    <t>Remunerarea muncii temporare</t>
  </si>
  <si>
    <t>211200</t>
  </si>
  <si>
    <t>Compensatie pentru alimentatie</t>
  </si>
  <si>
    <t>211310</t>
  </si>
  <si>
    <t>Compensatie pentru transport</t>
  </si>
  <si>
    <t>211320</t>
  </si>
  <si>
    <t>Compensatie pentru chiria spatiului locativ si pentru serviciile comunale</t>
  </si>
  <si>
    <t>211330</t>
  </si>
  <si>
    <t>Compensatie pentru echipament</t>
  </si>
  <si>
    <t>211350</t>
  </si>
  <si>
    <t>Alte plati</t>
  </si>
  <si>
    <t>211390</t>
  </si>
  <si>
    <t>Contributii si prime de asigurari obligatorii</t>
  </si>
  <si>
    <t>212</t>
  </si>
  <si>
    <t>Contributii de asigurari sociale de stat obligatorii</t>
  </si>
  <si>
    <t>212100</t>
  </si>
  <si>
    <t>Prime de asigurare obligatorie de asistenta medicala achitate de angajatori  pe teritoriul tarii</t>
  </si>
  <si>
    <t>212210</t>
  </si>
  <si>
    <t>Bunuri și servicii</t>
  </si>
  <si>
    <t>Bunuri - cheltuieli privind utilizarea stocurilor</t>
  </si>
  <si>
    <t>221</t>
  </si>
  <si>
    <t>Cheltuieli privind utilizarea combustibilului, carburantilor si lubrifiantilor</t>
  </si>
  <si>
    <t>221110</t>
  </si>
  <si>
    <t>Cheltuieli privind utilizarea pieselor de schimb</t>
  </si>
  <si>
    <t>221120</t>
  </si>
  <si>
    <t>Cheltuieli privind utilizarea produselor alimentare</t>
  </si>
  <si>
    <t>221130</t>
  </si>
  <si>
    <t>Cheltuieli privind utilizarea medicamentelor si materialelor sanitare</t>
  </si>
  <si>
    <t>221140</t>
  </si>
  <si>
    <t>Cheltuieli privind utilizarea materialelor pentru scopuri didactice, stiintifice si alte scopuri</t>
  </si>
  <si>
    <t>221150</t>
  </si>
  <si>
    <t>Cheltuieli privind utilizarea materialelor de uz gospodaresc si rechizitelor de birou</t>
  </si>
  <si>
    <t>221160</t>
  </si>
  <si>
    <t>Cheltuieli privind utilizarea materialelor de constructii</t>
  </si>
  <si>
    <t>221170</t>
  </si>
  <si>
    <t>Cheltuieli privind utilizarea accesoriilor de pat, imbracamintei, incaltamintei</t>
  </si>
  <si>
    <t>221180</t>
  </si>
  <si>
    <t>Cheltuieli privind utilizarea altor materiale</t>
  </si>
  <si>
    <t>221190</t>
  </si>
  <si>
    <t>Servicii</t>
  </si>
  <si>
    <t>222</t>
  </si>
  <si>
    <t>Energie electrica</t>
  </si>
  <si>
    <t>222110</t>
  </si>
  <si>
    <t>Gaze</t>
  </si>
  <si>
    <t>222120</t>
  </si>
  <si>
    <t>Energie termica</t>
  </si>
  <si>
    <t>222130</t>
  </si>
  <si>
    <t>Apa si canalizare</t>
  </si>
  <si>
    <t>222140</t>
  </si>
  <si>
    <t>Alte servicii comunale</t>
  </si>
  <si>
    <t>222190</t>
  </si>
  <si>
    <t>Servicii informationale</t>
  </si>
  <si>
    <t>222210</t>
  </si>
  <si>
    <t>Servicii de telecomunicatii</t>
  </si>
  <si>
    <t>222220</t>
  </si>
  <si>
    <t>Servicii de locatiune</t>
  </si>
  <si>
    <t>222300</t>
  </si>
  <si>
    <t>Servicii de transport</t>
  </si>
  <si>
    <t>222400</t>
  </si>
  <si>
    <t>Servicii de reparatii curente</t>
  </si>
  <si>
    <t>222500</t>
  </si>
  <si>
    <t>Formare profesională</t>
  </si>
  <si>
    <t>222600</t>
  </si>
  <si>
    <t>Deplasari de serviciu in interiorul tarii</t>
  </si>
  <si>
    <t>222710</t>
  </si>
  <si>
    <t>Deplasari de serviciu peste hotare</t>
  </si>
  <si>
    <t>222720</t>
  </si>
  <si>
    <t>Delegari ale angajatilor la misiunile diplomatice si oficiile consulare</t>
  </si>
  <si>
    <t>222730</t>
  </si>
  <si>
    <t>Servicii medicale</t>
  </si>
  <si>
    <t>222810</t>
  </si>
  <si>
    <t>Servicii de asigurare medicala achitate peste hotare</t>
  </si>
  <si>
    <t>222820</t>
  </si>
  <si>
    <t>Servicii editoriale</t>
  </si>
  <si>
    <t>222910</t>
  </si>
  <si>
    <t>Servicii de protocol</t>
  </si>
  <si>
    <t>222920</t>
  </si>
  <si>
    <t>Servicii de cercetari stiintifice contractate</t>
  </si>
  <si>
    <t>222930</t>
  </si>
  <si>
    <t>Servicii de paza</t>
  </si>
  <si>
    <t>222940</t>
  </si>
  <si>
    <t>Servicii judiciare si servicii de asistenta juridica garantata de stat</t>
  </si>
  <si>
    <t>222950</t>
  </si>
  <si>
    <t>Servicii de evaluare a activelor</t>
  </si>
  <si>
    <t>222960</t>
  </si>
  <si>
    <t>Servicii financiare</t>
  </si>
  <si>
    <t>222970</t>
  </si>
  <si>
    <t>Servicii poștale și curierat</t>
  </si>
  <si>
    <t>222980</t>
  </si>
  <si>
    <t>Servicii neatribuite altor aliniate</t>
  </si>
  <si>
    <t>222990</t>
  </si>
  <si>
    <t>Cheltuieli privind deprecierea activelor</t>
  </si>
  <si>
    <t>Cheltuieli privind uzura mijloacelor fixe</t>
  </si>
  <si>
    <t>231</t>
  </si>
  <si>
    <t>Cheltuieli privind uzura cladirilor</t>
  </si>
  <si>
    <t>231100</t>
  </si>
  <si>
    <t>Cheltuieli privind uzura constructiilor speciale</t>
  </si>
  <si>
    <t>231200</t>
  </si>
  <si>
    <t>Cheltuieli privind uzura instalatiilor de transmisie</t>
  </si>
  <si>
    <t>231300</t>
  </si>
  <si>
    <t>Cheltuielir privind uzura masinilor si utilajelor</t>
  </si>
  <si>
    <t>231400</t>
  </si>
  <si>
    <t>Cheltuieli privind uzura mijloacelor de transport</t>
  </si>
  <si>
    <t>231500</t>
  </si>
  <si>
    <t>Cheltuieli privind uzura uneltelor si sculelor, inventarului de producere si gospodaresc</t>
  </si>
  <si>
    <t>231600</t>
  </si>
  <si>
    <t>Cheltuieli privind uzura altor mijloace fixe</t>
  </si>
  <si>
    <t>231900</t>
  </si>
  <si>
    <t>Amortizarea activelor nemateriale</t>
  </si>
  <si>
    <t>232</t>
  </si>
  <si>
    <t>232000</t>
  </si>
  <si>
    <t xml:space="preserve">Subvenții </t>
  </si>
  <si>
    <t>Subventii acordate intreprinderilor de stat si municipale</t>
  </si>
  <si>
    <t>251</t>
  </si>
  <si>
    <t>Subventii acordate intreprinderilor de stat si municipale nefinanciare</t>
  </si>
  <si>
    <t>251100</t>
  </si>
  <si>
    <t>Subventii acordate institutiilor de stat si municipale financiare</t>
  </si>
  <si>
    <t>251200</t>
  </si>
  <si>
    <t>Subventii acordate intreprinderilor private</t>
  </si>
  <si>
    <t>252</t>
  </si>
  <si>
    <t>Subventii acordate intreprinderilor private nefinanciare</t>
  </si>
  <si>
    <t>252100</t>
  </si>
  <si>
    <t>Subventii acordate institutiilor private financiare</t>
  </si>
  <si>
    <t>252200</t>
  </si>
  <si>
    <t>Subventii acordate organizatiilor necomerciale</t>
  </si>
  <si>
    <t>253</t>
  </si>
  <si>
    <t>253000</t>
  </si>
  <si>
    <t>Subventii acordate autoritatilor/institutiilor publice la autogestiune</t>
  </si>
  <si>
    <t>254</t>
  </si>
  <si>
    <t>254000</t>
  </si>
  <si>
    <t>Granturi acordate</t>
  </si>
  <si>
    <t>Granturi acordate beneficiarilor in interiorul tarii</t>
  </si>
  <si>
    <t>263</t>
  </si>
  <si>
    <t>Granturi curente acordate institutiilor publice la autogestiune</t>
  </si>
  <si>
    <t>263110</t>
  </si>
  <si>
    <t>Granturi curente acordate altor beneficiari in interiorul tarii</t>
  </si>
  <si>
    <t>263190</t>
  </si>
  <si>
    <t>Granturi capitale acordate institutiilor publice la autogestiune</t>
  </si>
  <si>
    <t>263210</t>
  </si>
  <si>
    <t>Granturi capitale acordate altor beneficiari in interiorul tarii</t>
  </si>
  <si>
    <t>263290</t>
  </si>
  <si>
    <t>Prestații  sociale</t>
  </si>
  <si>
    <t>Prestatii de asistenta sociala</t>
  </si>
  <si>
    <t>272</t>
  </si>
  <si>
    <t>Pensii de asistenta sociala</t>
  </si>
  <si>
    <t>272100</t>
  </si>
  <si>
    <t>Indemnizatii de asistenta sociala</t>
  </si>
  <si>
    <t>272300</t>
  </si>
  <si>
    <t>Compensatii</t>
  </si>
  <si>
    <t>272500</t>
  </si>
  <si>
    <t>Ajutoare banesti</t>
  </si>
  <si>
    <t>272600</t>
  </si>
  <si>
    <t>Alte prestatii de asistenta sociala</t>
  </si>
  <si>
    <t>272900</t>
  </si>
  <si>
    <t>Prestatii sociale ale angajatorilor</t>
  </si>
  <si>
    <t>273</t>
  </si>
  <si>
    <t>Indemnizatii membrilor familiilor personalului misiunilor diplomatice si al oficiilor consulare</t>
  </si>
  <si>
    <t>273100</t>
  </si>
  <si>
    <t>Indemnizatii la incetarea actiunii contractului de munca</t>
  </si>
  <si>
    <t>273200</t>
  </si>
  <si>
    <t>Indemnizatii viagere</t>
  </si>
  <si>
    <t>273300</t>
  </si>
  <si>
    <t>Indemnizatii pentru incapacitatea temporara de munca achitate din mijloacele financiare ale angajatorului</t>
  </si>
  <si>
    <t>273500</t>
  </si>
  <si>
    <t>Alte prestatii sociale ale angajatorilor</t>
  </si>
  <si>
    <t>273900</t>
  </si>
  <si>
    <t xml:space="preserve">Alte cheltuieli </t>
  </si>
  <si>
    <t>Alte cheltuieli curente</t>
  </si>
  <si>
    <t>281</t>
  </si>
  <si>
    <t>Cotizatii in organizatiile internationale</t>
  </si>
  <si>
    <t>281110</t>
  </si>
  <si>
    <t>Cotizatii in organizatiile din tara</t>
  </si>
  <si>
    <t>281120</t>
  </si>
  <si>
    <t>Burse de studii studentilor autohtoni</t>
  </si>
  <si>
    <t>281211</t>
  </si>
  <si>
    <t>Burse de studii studentilor de peste hotarele republicii</t>
  </si>
  <si>
    <t>281212</t>
  </si>
  <si>
    <t>Burse sociale studentilor autohtoni</t>
  </si>
  <si>
    <t>281221</t>
  </si>
  <si>
    <t>Alte plati asociate cu bursa</t>
  </si>
  <si>
    <t>281230</t>
  </si>
  <si>
    <t>Plati aferente documentelor executorii cu executare benevola</t>
  </si>
  <si>
    <t>281361</t>
  </si>
  <si>
    <t>Plati aferente documentelor executorii cu executare silita</t>
  </si>
  <si>
    <t>281362</t>
  </si>
  <si>
    <t>Alte despagubiri</t>
  </si>
  <si>
    <t>281390</t>
  </si>
  <si>
    <t>Taxe, amenzi, penalitati si alte plati obligatorii</t>
  </si>
  <si>
    <t>281400</t>
  </si>
  <si>
    <t>Rambursarea  mijloacelor bugetare  din  anii  precedenti  la  autoritatea/institutia bugetara</t>
  </si>
  <si>
    <t>281500</t>
  </si>
  <si>
    <t>Alte cheltuieli in baza de contracte cu persoane fizice</t>
  </si>
  <si>
    <t>281600</t>
  </si>
  <si>
    <t>Solda militarilor, sporurile si suplimentele la ea</t>
  </si>
  <si>
    <t>281700</t>
  </si>
  <si>
    <t>Comanda de stat pentru pregatirea cadrelor</t>
  </si>
  <si>
    <t>281800</t>
  </si>
  <si>
    <t>281811</t>
  </si>
  <si>
    <t>Indemnizatii membrilor Consiliului pentru dezvoltarea strategica institutionala</t>
  </si>
  <si>
    <t>281812</t>
  </si>
  <si>
    <t>Cheltuieli curente neatribuite la alte categorii</t>
  </si>
  <si>
    <t>281900</t>
  </si>
  <si>
    <t>Alte cheltuieli capitale</t>
  </si>
  <si>
    <t>282</t>
  </si>
  <si>
    <t>Cheltuieli capitale pentru lucrari topografogeodezice, de cartografie si cadastru</t>
  </si>
  <si>
    <t>282100</t>
  </si>
  <si>
    <t>Cheltuieli capitale neatribuite la alte categorii</t>
  </si>
  <si>
    <t>282900</t>
  </si>
  <si>
    <t>Alte cheltuieli ale institutiilor bugetare</t>
  </si>
  <si>
    <t>289</t>
  </si>
  <si>
    <t>Cheltuieli privind iesirea activelor</t>
  </si>
  <si>
    <t>289100</t>
  </si>
  <si>
    <t>Cheltuieli privind transmiterea activelor cu titlu gratuit</t>
  </si>
  <si>
    <t>289200</t>
  </si>
  <si>
    <t>Cheltuieli aferente deprecierii activelor (reducerea valorii)</t>
  </si>
  <si>
    <t>289300</t>
  </si>
  <si>
    <t>Cheltuieli privind creantele compromise</t>
  </si>
  <si>
    <t>289500</t>
  </si>
  <si>
    <t>289900</t>
  </si>
  <si>
    <t>Transferuri acordate în cadrul bugetului public naţional</t>
  </si>
  <si>
    <t>Transferuri acordate intre bugetul de stat si bugetele locale</t>
  </si>
  <si>
    <t>291</t>
  </si>
  <si>
    <t>Transferuri curente acordate cu destinatie speciala intre institutiile bugetului de stat si institutiile bugetelor locale de nivelul 2</t>
  </si>
  <si>
    <t>291310</t>
  </si>
  <si>
    <t>Transferuri capitale acordate cu destinatie speciala intre institutiile bugetului de stat si institutiile bugetelor locale de nivelul 2</t>
  </si>
  <si>
    <t>291320</t>
  </si>
  <si>
    <t>Transferuri capitale acordate cu destinatie speciala intre institutiile bugetului de stat si institutiile bugetelor locale de nivelul 1</t>
  </si>
  <si>
    <t>291420</t>
  </si>
  <si>
    <t>III. ACTIVE NEFINANCIARE</t>
  </si>
  <si>
    <t>Mijloace fixe</t>
  </si>
  <si>
    <t>Cladiri</t>
  </si>
  <si>
    <t>311</t>
  </si>
  <si>
    <t>Procurarea cladirilor</t>
  </si>
  <si>
    <t>311110</t>
  </si>
  <si>
    <t>Reparatii capitale ale cladirilor</t>
  </si>
  <si>
    <t>311120</t>
  </si>
  <si>
    <t>Constructii speciale</t>
  </si>
  <si>
    <t>312</t>
  </si>
  <si>
    <t>Procurarea constructiilor speciale</t>
  </si>
  <si>
    <t>312110</t>
  </si>
  <si>
    <t>Reparatii capitale ale constructiilor speciale</t>
  </si>
  <si>
    <t>312120</t>
  </si>
  <si>
    <t>Instalatii de transmisie</t>
  </si>
  <si>
    <t>313</t>
  </si>
  <si>
    <t>Procurarea instalatiilor de transmisie</t>
  </si>
  <si>
    <t>313110</t>
  </si>
  <si>
    <t>Reparatii capitale ale instalatiilor de transmisie</t>
  </si>
  <si>
    <t>313120</t>
  </si>
  <si>
    <t>Masini si utilaje</t>
  </si>
  <si>
    <t>314</t>
  </si>
  <si>
    <t>Procurarea masinilor si utilajelor</t>
  </si>
  <si>
    <t>314110</t>
  </si>
  <si>
    <t>Reparatii capitale ale masinilor si utilajelor</t>
  </si>
  <si>
    <t>314120</t>
  </si>
  <si>
    <t>Mijloace de transport</t>
  </si>
  <si>
    <t>315</t>
  </si>
  <si>
    <t>Procurarea mijloacelor de transport</t>
  </si>
  <si>
    <t>315110</t>
  </si>
  <si>
    <t>Reparatii capitale ale mijloacelor de transport</t>
  </si>
  <si>
    <t>315120</t>
  </si>
  <si>
    <t>Realizarea mijloacelor de transport</t>
  </si>
  <si>
    <t>315210</t>
  </si>
  <si>
    <t>Unelte si scule, inventar de producere si gospodaresc</t>
  </si>
  <si>
    <t>316</t>
  </si>
  <si>
    <t>Procurarea uneltelor si sculelor, inventarului de producere si gospodaresc</t>
  </si>
  <si>
    <t>316110</t>
  </si>
  <si>
    <t>Reparatii capitale ale uneltelor si sculelor, inventarului de producere si gospodaresc</t>
  </si>
  <si>
    <t>316120</t>
  </si>
  <si>
    <t>Active nemateriale</t>
  </si>
  <si>
    <t>317</t>
  </si>
  <si>
    <t>Procurarea activelor nemateriale</t>
  </si>
  <si>
    <t>317110</t>
  </si>
  <si>
    <t>Dezvoltarea activelor nemateriale</t>
  </si>
  <si>
    <t>317120</t>
  </si>
  <si>
    <t>Alte mijloace fixe</t>
  </si>
  <si>
    <t>318</t>
  </si>
  <si>
    <t>Procurarea altor mijloace fixe</t>
  </si>
  <si>
    <t>318110</t>
  </si>
  <si>
    <t>Reparatii capitale ale altor mijloace fixe</t>
  </si>
  <si>
    <t>318120</t>
  </si>
  <si>
    <t>Investitii capitale in active in curs de executie</t>
  </si>
  <si>
    <t>319</t>
  </si>
  <si>
    <t>Investitii capitale in active nemateriale in curs de execuitie</t>
  </si>
  <si>
    <t>319100</t>
  </si>
  <si>
    <t>Cladiri in curs de executie</t>
  </si>
  <si>
    <t>319210</t>
  </si>
  <si>
    <t>Constructii speciale in curs de executie</t>
  </si>
  <si>
    <t>319220</t>
  </si>
  <si>
    <t>Instalatii de transmisie in curs de executie</t>
  </si>
  <si>
    <t>319230</t>
  </si>
  <si>
    <t>Pregatirea proiectelor</t>
  </si>
  <si>
    <t>319240</t>
  </si>
  <si>
    <t>Alte investitii capitale in active materiale in curs de executie</t>
  </si>
  <si>
    <t>319290</t>
  </si>
  <si>
    <t>Stocuri de materiale circulante</t>
  </si>
  <si>
    <t>Combustibil, carburanti si lubrifianti</t>
  </si>
  <si>
    <t>331</t>
  </si>
  <si>
    <t>Procurarea combustibilului, carburantilor si lubrifiantilor</t>
  </si>
  <si>
    <t>331110</t>
  </si>
  <si>
    <t>Piese de schimb</t>
  </si>
  <si>
    <t>332</t>
  </si>
  <si>
    <t>Procurarea pieselor de schimb</t>
  </si>
  <si>
    <t>332110</t>
  </si>
  <si>
    <t>Produse alimentare</t>
  </si>
  <si>
    <t>333</t>
  </si>
  <si>
    <t>Procurarea produselor alimentare</t>
  </si>
  <si>
    <t>333110</t>
  </si>
  <si>
    <t>Medicamente si materiale sanitare</t>
  </si>
  <si>
    <t>334</t>
  </si>
  <si>
    <t>Procurarea medicamentelor si materialelor sanitare</t>
  </si>
  <si>
    <t>334110</t>
  </si>
  <si>
    <t>Materiale pentru scopuri didactice, stiintifice si alte scopuri</t>
  </si>
  <si>
    <t>335</t>
  </si>
  <si>
    <t>Procurarea materialelor pentru scopuri didactice, stiintifice si alte scopuri</t>
  </si>
  <si>
    <t>335110</t>
  </si>
  <si>
    <t>Materiale de uz gospodaresc si rechizite de birou</t>
  </si>
  <si>
    <t>336</t>
  </si>
  <si>
    <t>Procurarea materialelor de uz gospodaresc si rechizitelor de birou</t>
  </si>
  <si>
    <t>336110</t>
  </si>
  <si>
    <t>Materiale de constructie</t>
  </si>
  <si>
    <t>337</t>
  </si>
  <si>
    <t>Procurarea materialelor de constructie</t>
  </si>
  <si>
    <t>337110</t>
  </si>
  <si>
    <t>Accesorii de pat, imbracaminte, incaltaminte</t>
  </si>
  <si>
    <t>338</t>
  </si>
  <si>
    <t>Procurarea accesorilor de pat, imbracamintei, incaltamintei</t>
  </si>
  <si>
    <t>338110</t>
  </si>
  <si>
    <t>Realizarea accesoriilor de pat,  imbracamintei, incaltamintei</t>
  </si>
  <si>
    <t>338210</t>
  </si>
  <si>
    <t>Accesorii de pat, imbracaminte, incaltaminte transmise la terti</t>
  </si>
  <si>
    <t>338280</t>
  </si>
  <si>
    <t>Alte micsorari a valorii accesoriilor de pat, imbracamintei, incaltamintei</t>
  </si>
  <si>
    <t>338290</t>
  </si>
  <si>
    <t>Alte materiale</t>
  </si>
  <si>
    <t>339</t>
  </si>
  <si>
    <t>Procurarea  altor materiale</t>
  </si>
  <si>
    <t>339110</t>
  </si>
  <si>
    <t>Productie finita a gospodariilor agricole auxiliare</t>
  </si>
  <si>
    <t>Productie in curs de executie</t>
  </si>
  <si>
    <t>341</t>
  </si>
  <si>
    <t>Majorarea valorii productiei in curs de executie</t>
  </si>
  <si>
    <t>341100</t>
  </si>
  <si>
    <t>344</t>
  </si>
  <si>
    <t>Realizarea productiei finite a gospodariilor agricole auxiliare</t>
  </si>
  <si>
    <t>344210</t>
  </si>
  <si>
    <t>Marfuri</t>
  </si>
  <si>
    <t>351</t>
  </si>
  <si>
    <t>Procurarea marfurilor</t>
  </si>
  <si>
    <t>351110</t>
  </si>
  <si>
    <t>Valori</t>
  </si>
  <si>
    <t>Activele mostenirii culturale</t>
  </si>
  <si>
    <t>363</t>
  </si>
  <si>
    <t>Procurarea activelor mostenirii culturale</t>
  </si>
  <si>
    <t>363110</t>
  </si>
  <si>
    <t xml:space="preserve">         Ministrul Finanțelor
         Secretar general al ministerului
         Șef Direcție politici și  sinteză bugetară
         Șef Direcție Trezoreria  de Stat
         Șef Secție raportare
</t>
  </si>
  <si>
    <t xml:space="preserve">Veronica Sirețeanu 
Dina Roșca 
Natalia Sclearuc
Maxim Ciobanu
Nadejda Slova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</si>
</sst>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.0"/>
  </numFmts>
  <fonts count="14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Times New Roman"/>
      <family val="1"/>
    </font>
    <font>
      <i/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9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FF0000"/>
      <name val="Times New Roman"/>
      <family val="1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42">
    <xf numFmtId="0" fontId="0" fillId="0" borderId="0" xfId="0"/>
    <xf numFmtId="0" fontId="2" fillId="0" borderId="0" xfId="1" applyFont="1" applyFill="1" applyAlignment="1">
      <alignment wrapText="1"/>
    </xf>
    <xf numFmtId="0" fontId="2" fillId="0" borderId="0" xfId="1" applyFont="1" applyFill="1" applyAlignment="1">
      <alignment horizontal="left" wrapText="1"/>
    </xf>
    <xf numFmtId="0" fontId="2" fillId="0" borderId="0" xfId="1" applyFont="1" applyFill="1" applyAlignment="1">
      <alignment horizontal="right" wrapText="1"/>
    </xf>
    <xf numFmtId="0" fontId="3" fillId="0" borderId="0" xfId="1" applyFont="1" applyFill="1" applyAlignment="1">
      <alignment horizontal="right" wrapText="1"/>
    </xf>
    <xf numFmtId="0" fontId="2" fillId="0" borderId="0" xfId="2" applyFont="1" applyFill="1" applyAlignment="1">
      <alignment wrapText="1"/>
    </xf>
    <xf numFmtId="0" fontId="4" fillId="0" borderId="0" xfId="2" applyFont="1" applyFill="1" applyAlignment="1">
      <alignment horizontal="right" wrapText="1"/>
    </xf>
    <xf numFmtId="0" fontId="3" fillId="0" borderId="0" xfId="2" applyFont="1" applyFill="1" applyAlignment="1">
      <alignment horizontal="right" wrapText="1"/>
    </xf>
    <xf numFmtId="0" fontId="3" fillId="0" borderId="0" xfId="2" applyFont="1" applyFill="1" applyAlignment="1">
      <alignment horizontal="right" wrapText="1"/>
    </xf>
    <xf numFmtId="0" fontId="5" fillId="0" borderId="0" xfId="1" applyFont="1" applyFill="1" applyAlignment="1">
      <alignment horizontal="center" wrapText="1"/>
    </xf>
    <xf numFmtId="0" fontId="5" fillId="0" borderId="0" xfId="1" applyFont="1" applyFill="1" applyAlignment="1">
      <alignment horizontal="center" wrapText="1"/>
    </xf>
    <xf numFmtId="0" fontId="6" fillId="0" borderId="0" xfId="2" applyFont="1" applyFill="1" applyAlignment="1">
      <alignment horizontal="right" wrapText="1"/>
    </xf>
    <xf numFmtId="0" fontId="7" fillId="0" borderId="1" xfId="1" applyFont="1" applyFill="1" applyBorder="1" applyAlignment="1">
      <alignment horizontal="center" vertical="center" wrapText="1"/>
    </xf>
    <xf numFmtId="0" fontId="7" fillId="0" borderId="2" xfId="1" applyFont="1" applyFill="1" applyBorder="1" applyAlignment="1">
      <alignment horizontal="left" vertical="center" wrapText="1"/>
    </xf>
    <xf numFmtId="0" fontId="7" fillId="0" borderId="2" xfId="1" applyFont="1" applyFill="1" applyBorder="1" applyAlignment="1">
      <alignment horizontal="center" vertical="center" wrapText="1"/>
    </xf>
    <xf numFmtId="0" fontId="7" fillId="0" borderId="3" xfId="1" applyFont="1" applyFill="1" applyBorder="1" applyAlignment="1">
      <alignment horizontal="center" vertical="center" wrapText="1"/>
    </xf>
    <xf numFmtId="0" fontId="7" fillId="0" borderId="2" xfId="2" applyFont="1" applyFill="1" applyBorder="1" applyAlignment="1">
      <alignment horizontal="center" vertical="center" wrapText="1"/>
    </xf>
    <xf numFmtId="0" fontId="7" fillId="0" borderId="4" xfId="1" applyFont="1" applyFill="1" applyBorder="1" applyAlignment="1">
      <alignment horizontal="left" vertical="center" wrapText="1"/>
    </xf>
    <xf numFmtId="0" fontId="7" fillId="0" borderId="4" xfId="1" applyFont="1" applyFill="1" applyBorder="1" applyAlignment="1">
      <alignment horizontal="center" vertical="center" wrapText="1"/>
    </xf>
    <xf numFmtId="0" fontId="7" fillId="0" borderId="4" xfId="2" applyFont="1" applyFill="1" applyBorder="1" applyAlignment="1">
      <alignment horizontal="center" vertical="center" wrapText="1"/>
    </xf>
    <xf numFmtId="0" fontId="7" fillId="0" borderId="0" xfId="1" applyFont="1" applyFill="1" applyAlignment="1">
      <alignment wrapText="1"/>
    </xf>
    <xf numFmtId="0" fontId="7" fillId="0" borderId="5" xfId="1" applyFont="1" applyFill="1" applyBorder="1" applyAlignment="1">
      <alignment horizontal="left" vertical="center" wrapText="1"/>
    </xf>
    <xf numFmtId="0" fontId="7" fillId="0" borderId="5" xfId="1" applyFont="1" applyFill="1" applyBorder="1" applyAlignment="1">
      <alignment horizontal="center" vertical="center" wrapText="1"/>
    </xf>
    <xf numFmtId="0" fontId="7" fillId="0" borderId="5" xfId="2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horizontal="center" wrapText="1"/>
    </xf>
    <xf numFmtId="0" fontId="8" fillId="0" borderId="1" xfId="1" applyFont="1" applyFill="1" applyBorder="1" applyAlignment="1">
      <alignment horizontal="left" wrapText="1"/>
    </xf>
    <xf numFmtId="0" fontId="8" fillId="0" borderId="6" xfId="1" applyFont="1" applyFill="1" applyBorder="1" applyAlignment="1">
      <alignment horizontal="center" wrapText="1"/>
    </xf>
    <xf numFmtId="0" fontId="8" fillId="0" borderId="5" xfId="1" applyFont="1" applyFill="1" applyBorder="1" applyAlignment="1">
      <alignment horizontal="center" wrapText="1"/>
    </xf>
    <xf numFmtId="0" fontId="8" fillId="0" borderId="0" xfId="1" applyFont="1" applyFill="1" applyAlignment="1">
      <alignment wrapText="1"/>
    </xf>
    <xf numFmtId="0" fontId="9" fillId="0" borderId="1" xfId="0" applyNumberFormat="1" applyFont="1" applyFill="1" applyBorder="1" applyAlignment="1" applyProtection="1">
      <alignment horizontal="left" vertical="top" wrapText="1"/>
    </xf>
    <xf numFmtId="0" fontId="10" fillId="0" borderId="1" xfId="0" applyFont="1" applyBorder="1" applyAlignment="1">
      <alignment horizontal="left" wrapText="1"/>
    </xf>
    <xf numFmtId="164" fontId="10" fillId="0" borderId="1" xfId="0" applyNumberFormat="1" applyFont="1" applyBorder="1" applyAlignment="1">
      <alignment wrapText="1"/>
    </xf>
    <xf numFmtId="164" fontId="2" fillId="0" borderId="0" xfId="1" applyNumberFormat="1" applyFont="1" applyFill="1" applyAlignment="1">
      <alignment wrapText="1"/>
    </xf>
    <xf numFmtId="0" fontId="6" fillId="0" borderId="0" xfId="1" applyFont="1" applyFill="1" applyAlignment="1">
      <alignment wrapText="1"/>
    </xf>
    <xf numFmtId="164" fontId="6" fillId="0" borderId="0" xfId="1" applyNumberFormat="1" applyFont="1" applyFill="1" applyAlignment="1">
      <alignment wrapText="1"/>
    </xf>
    <xf numFmtId="0" fontId="11" fillId="0" borderId="1" xfId="0" applyNumberFormat="1" applyFont="1" applyFill="1" applyBorder="1" applyAlignment="1" applyProtection="1">
      <alignment horizontal="left" vertical="top" wrapText="1"/>
    </xf>
    <xf numFmtId="0" fontId="12" fillId="0" borderId="1" xfId="0" applyFont="1" applyBorder="1" applyAlignment="1">
      <alignment horizontal="left" wrapText="1"/>
    </xf>
    <xf numFmtId="164" fontId="12" fillId="0" borderId="1" xfId="0" applyNumberFormat="1" applyFont="1" applyBorder="1" applyAlignment="1">
      <alignment wrapText="1"/>
    </xf>
    <xf numFmtId="165" fontId="2" fillId="0" borderId="0" xfId="1" applyNumberFormat="1" applyFont="1" applyFill="1" applyAlignment="1">
      <alignment wrapText="1"/>
    </xf>
    <xf numFmtId="164" fontId="7" fillId="0" borderId="0" xfId="1" applyNumberFormat="1" applyFont="1" applyFill="1" applyAlignment="1">
      <alignment wrapText="1"/>
    </xf>
    <xf numFmtId="164" fontId="13" fillId="0" borderId="0" xfId="1" applyNumberFormat="1" applyFont="1" applyFill="1" applyAlignment="1">
      <alignment wrapText="1"/>
    </xf>
    <xf numFmtId="0" fontId="2" fillId="0" borderId="0" xfId="1" applyFont="1" applyFill="1" applyAlignment="1">
      <alignment horizontal="left" wrapText="1"/>
    </xf>
  </cellXfs>
  <cellStyles count="3">
    <cellStyle name="Normal_Formele 1, 2,3,4_2003" xfId="2"/>
    <cellStyle name="Normal_Machet_DS anulala 2003_ anexele" xfId="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ormularul%209%20-%20cu%20consolid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PPS"/>
      <sheetName val="Лист2"/>
    </sheetNames>
    <sheetDataSet>
      <sheetData sheetId="0">
        <row r="20">
          <cell r="C20">
            <v>192063</v>
          </cell>
          <cell r="D20">
            <v>188920.2</v>
          </cell>
          <cell r="E20">
            <v>174114.64</v>
          </cell>
          <cell r="G20">
            <v>453</v>
          </cell>
        </row>
        <row r="21">
          <cell r="D21">
            <v>765</v>
          </cell>
          <cell r="E21">
            <v>765.16</v>
          </cell>
          <cell r="F21">
            <v>765.2</v>
          </cell>
        </row>
        <row r="22">
          <cell r="D22">
            <v>765</v>
          </cell>
          <cell r="E22">
            <v>765.16</v>
          </cell>
          <cell r="F22">
            <v>765.2</v>
          </cell>
        </row>
        <row r="23">
          <cell r="C23">
            <v>1144</v>
          </cell>
          <cell r="D23">
            <v>1144</v>
          </cell>
          <cell r="E23">
            <v>1454.2</v>
          </cell>
          <cell r="F23">
            <v>1454.2</v>
          </cell>
        </row>
        <row r="24">
          <cell r="C24">
            <v>1144</v>
          </cell>
          <cell r="D24">
            <v>1144</v>
          </cell>
          <cell r="E24">
            <v>1454.2</v>
          </cell>
          <cell r="F24">
            <v>1454.2</v>
          </cell>
        </row>
        <row r="25">
          <cell r="C25">
            <v>1521</v>
          </cell>
          <cell r="D25">
            <v>1645.2</v>
          </cell>
          <cell r="E25">
            <v>1543.1</v>
          </cell>
        </row>
        <row r="26">
          <cell r="C26">
            <v>1520</v>
          </cell>
          <cell r="D26">
            <v>1620</v>
          </cell>
          <cell r="E26">
            <v>1517.98</v>
          </cell>
          <cell r="F26">
            <v>1517.98</v>
          </cell>
        </row>
        <row r="27">
          <cell r="C27">
            <v>1</v>
          </cell>
          <cell r="D27">
            <v>25.2</v>
          </cell>
          <cell r="E27">
            <v>25.1</v>
          </cell>
          <cell r="F27">
            <v>25.11</v>
          </cell>
        </row>
        <row r="28">
          <cell r="C28">
            <v>20</v>
          </cell>
          <cell r="F28">
            <v>767.5</v>
          </cell>
        </row>
        <row r="29">
          <cell r="C29">
            <v>20</v>
          </cell>
        </row>
        <row r="30">
          <cell r="F30">
            <v>0.5</v>
          </cell>
        </row>
        <row r="32">
          <cell r="F32">
            <v>613.4</v>
          </cell>
        </row>
        <row r="33">
          <cell r="C33">
            <v>189378</v>
          </cell>
          <cell r="D33">
            <v>185366</v>
          </cell>
          <cell r="E33">
            <v>170352.1</v>
          </cell>
          <cell r="G33">
            <v>453</v>
          </cell>
        </row>
        <row r="34">
          <cell r="F34">
            <v>170</v>
          </cell>
        </row>
        <row r="37">
          <cell r="F37">
            <v>58.3</v>
          </cell>
          <cell r="G37">
            <v>453</v>
          </cell>
        </row>
        <row r="38">
          <cell r="C38">
            <v>189378</v>
          </cell>
          <cell r="D38">
            <v>185366</v>
          </cell>
          <cell r="E38">
            <v>170352.1</v>
          </cell>
          <cell r="F38">
            <v>170352.14</v>
          </cell>
        </row>
        <row r="39">
          <cell r="F39">
            <v>149.1</v>
          </cell>
        </row>
        <row r="40">
          <cell r="C40">
            <v>172485.7</v>
          </cell>
          <cell r="D40">
            <v>174780.5</v>
          </cell>
          <cell r="E40">
            <v>159129.04999999999</v>
          </cell>
          <cell r="G40">
            <v>122.6</v>
          </cell>
          <cell r="H40">
            <v>10763.6</v>
          </cell>
        </row>
        <row r="41">
          <cell r="C41">
            <v>118733.4</v>
          </cell>
          <cell r="D41">
            <v>119296.4</v>
          </cell>
          <cell r="E41">
            <v>107559.27</v>
          </cell>
          <cell r="F41">
            <v>107150</v>
          </cell>
          <cell r="G41">
            <v>0.7</v>
          </cell>
          <cell r="H41">
            <v>7640.5</v>
          </cell>
        </row>
        <row r="42">
          <cell r="C42">
            <v>117133.4</v>
          </cell>
          <cell r="D42">
            <v>117141.4</v>
          </cell>
          <cell r="E42">
            <v>106041.22</v>
          </cell>
          <cell r="H42">
            <v>7640.5</v>
          </cell>
        </row>
        <row r="43">
          <cell r="F43">
            <v>53903.8</v>
          </cell>
        </row>
        <row r="44">
          <cell r="F44">
            <v>43542</v>
          </cell>
        </row>
        <row r="45">
          <cell r="F45">
            <v>8186.1</v>
          </cell>
        </row>
        <row r="46">
          <cell r="C46">
            <v>500</v>
          </cell>
          <cell r="D46">
            <v>1055</v>
          </cell>
          <cell r="E46">
            <v>667.88</v>
          </cell>
          <cell r="F46">
            <v>667.9</v>
          </cell>
        </row>
        <row r="47">
          <cell r="C47">
            <v>1100</v>
          </cell>
          <cell r="D47">
            <v>1100</v>
          </cell>
          <cell r="E47">
            <v>850.16</v>
          </cell>
          <cell r="F47">
            <v>850.2</v>
          </cell>
        </row>
        <row r="48">
          <cell r="C48">
            <v>33952.199999999997</v>
          </cell>
          <cell r="D48">
            <v>34300.199999999997</v>
          </cell>
          <cell r="E48">
            <v>30441.22</v>
          </cell>
          <cell r="F48">
            <v>30826.9</v>
          </cell>
          <cell r="H48">
            <v>2212.3000000000002</v>
          </cell>
        </row>
        <row r="49">
          <cell r="C49">
            <v>33952.199999999997</v>
          </cell>
          <cell r="D49">
            <v>34300.199999999997</v>
          </cell>
          <cell r="E49">
            <v>30441.22</v>
          </cell>
          <cell r="F49">
            <v>30826.9</v>
          </cell>
        </row>
        <row r="60">
          <cell r="C60">
            <v>7095.7</v>
          </cell>
          <cell r="D60">
            <v>6451.6</v>
          </cell>
          <cell r="E60">
            <v>6396.27</v>
          </cell>
          <cell r="F60">
            <v>6398.2</v>
          </cell>
          <cell r="G60">
            <v>121.9</v>
          </cell>
          <cell r="H60">
            <v>87.7</v>
          </cell>
        </row>
        <row r="61">
          <cell r="C61">
            <v>220</v>
          </cell>
          <cell r="D61">
            <v>198.2</v>
          </cell>
          <cell r="E61">
            <v>198.2</v>
          </cell>
          <cell r="F61">
            <v>163.1</v>
          </cell>
          <cell r="G61">
            <v>53.4</v>
          </cell>
        </row>
        <row r="62">
          <cell r="C62">
            <v>70</v>
          </cell>
          <cell r="D62">
            <v>91.51</v>
          </cell>
          <cell r="E62">
            <v>91.51</v>
          </cell>
          <cell r="F62">
            <v>83</v>
          </cell>
          <cell r="G62">
            <v>4.5999999999999996</v>
          </cell>
        </row>
        <row r="63">
          <cell r="C63">
            <v>400</v>
          </cell>
          <cell r="D63">
            <v>265</v>
          </cell>
          <cell r="E63">
            <v>265</v>
          </cell>
          <cell r="F63">
            <v>336.1</v>
          </cell>
          <cell r="H63">
            <v>39</v>
          </cell>
        </row>
        <row r="64">
          <cell r="C64">
            <v>120</v>
          </cell>
          <cell r="D64">
            <v>151.05000000000001</v>
          </cell>
          <cell r="E64">
            <v>151.05000000000001</v>
          </cell>
          <cell r="F64">
            <v>120.1</v>
          </cell>
          <cell r="G64">
            <v>26</v>
          </cell>
        </row>
        <row r="65">
          <cell r="C65">
            <v>35</v>
          </cell>
          <cell r="D65">
            <v>38.72</v>
          </cell>
          <cell r="E65">
            <v>38.72</v>
          </cell>
          <cell r="F65">
            <v>38.700000000000003</v>
          </cell>
        </row>
        <row r="66">
          <cell r="C66">
            <v>100.5</v>
          </cell>
          <cell r="D66">
            <v>110.86</v>
          </cell>
          <cell r="E66">
            <v>110.42</v>
          </cell>
          <cell r="F66">
            <v>110.8</v>
          </cell>
        </row>
        <row r="67">
          <cell r="C67">
            <v>97.5</v>
          </cell>
          <cell r="D67">
            <v>58.43</v>
          </cell>
          <cell r="E67">
            <v>53.58</v>
          </cell>
          <cell r="F67">
            <v>53.8</v>
          </cell>
          <cell r="G67">
            <v>0.4</v>
          </cell>
        </row>
        <row r="68">
          <cell r="C68">
            <v>700.8</v>
          </cell>
          <cell r="D68">
            <v>709.36</v>
          </cell>
          <cell r="E68">
            <v>709.36</v>
          </cell>
          <cell r="F68">
            <v>708.4</v>
          </cell>
          <cell r="G68">
            <v>2.7</v>
          </cell>
          <cell r="H68">
            <v>3.1</v>
          </cell>
        </row>
        <row r="69">
          <cell r="C69">
            <v>800</v>
          </cell>
          <cell r="D69">
            <v>562.55999999999995</v>
          </cell>
          <cell r="E69">
            <v>562.55999999999995</v>
          </cell>
          <cell r="F69">
            <v>562.6</v>
          </cell>
        </row>
        <row r="70">
          <cell r="C70">
            <v>1202.7</v>
          </cell>
          <cell r="D70">
            <v>906.88</v>
          </cell>
          <cell r="E70">
            <v>906.88</v>
          </cell>
          <cell r="F70">
            <v>906.9</v>
          </cell>
        </row>
        <row r="73">
          <cell r="C73">
            <v>1400</v>
          </cell>
          <cell r="D73">
            <v>1920.45</v>
          </cell>
          <cell r="E73">
            <v>1920.45</v>
          </cell>
          <cell r="F73">
            <v>1887.3</v>
          </cell>
          <cell r="G73">
            <v>34.799999999999997</v>
          </cell>
          <cell r="H73">
            <v>1.7</v>
          </cell>
        </row>
        <row r="74">
          <cell r="C74">
            <v>1116.0999999999999</v>
          </cell>
          <cell r="D74">
            <v>971.29</v>
          </cell>
          <cell r="E74">
            <v>927.4</v>
          </cell>
          <cell r="F74">
            <v>964.3</v>
          </cell>
          <cell r="H74">
            <v>43.9</v>
          </cell>
        </row>
        <row r="77">
          <cell r="F77">
            <v>13.1</v>
          </cell>
        </row>
        <row r="78">
          <cell r="C78">
            <v>592.4</v>
          </cell>
          <cell r="D78">
            <v>316.02999999999997</v>
          </cell>
          <cell r="E78">
            <v>309.88</v>
          </cell>
          <cell r="F78">
            <v>311.39999999999998</v>
          </cell>
        </row>
        <row r="89">
          <cell r="C89">
            <v>24.4</v>
          </cell>
        </row>
        <row r="91">
          <cell r="C91">
            <v>12500</v>
          </cell>
          <cell r="D91">
            <v>14668.53</v>
          </cell>
          <cell r="E91">
            <v>14668.53</v>
          </cell>
          <cell r="F91">
            <v>15262.4</v>
          </cell>
        </row>
        <row r="92">
          <cell r="C92">
            <v>12000</v>
          </cell>
          <cell r="D92">
            <v>13712.53</v>
          </cell>
          <cell r="E92">
            <v>13712.53</v>
          </cell>
          <cell r="F92">
            <v>14499.8</v>
          </cell>
        </row>
        <row r="93">
          <cell r="C93">
            <v>350</v>
          </cell>
          <cell r="D93">
            <v>335.61</v>
          </cell>
          <cell r="E93">
            <v>335.61</v>
          </cell>
          <cell r="F93">
            <v>355.3</v>
          </cell>
        </row>
        <row r="94">
          <cell r="C94">
            <v>150</v>
          </cell>
          <cell r="D94">
            <v>620.39</v>
          </cell>
          <cell r="E94">
            <v>620.39</v>
          </cell>
          <cell r="F94">
            <v>407.3</v>
          </cell>
        </row>
        <row r="95">
          <cell r="C95">
            <v>180</v>
          </cell>
        </row>
        <row r="102">
          <cell r="C102">
            <v>19577.3</v>
          </cell>
          <cell r="D102">
            <v>15888.6</v>
          </cell>
          <cell r="E102">
            <v>15083.22</v>
          </cell>
          <cell r="G102">
            <v>3.1</v>
          </cell>
        </row>
        <row r="104">
          <cell r="C104">
            <v>2250</v>
          </cell>
          <cell r="D104">
            <v>282.70999999999998</v>
          </cell>
          <cell r="E104">
            <v>282.70999999999998</v>
          </cell>
        </row>
        <row r="105">
          <cell r="C105">
            <v>2250</v>
          </cell>
          <cell r="D105">
            <v>282.70999999999998</v>
          </cell>
          <cell r="E105">
            <v>282.70999999999998</v>
          </cell>
        </row>
        <row r="106">
          <cell r="C106">
            <v>5592.5</v>
          </cell>
          <cell r="D106">
            <v>3498.06</v>
          </cell>
          <cell r="E106">
            <v>2788.3</v>
          </cell>
        </row>
        <row r="108">
          <cell r="C108">
            <v>3000</v>
          </cell>
          <cell r="D108">
            <v>3675.12</v>
          </cell>
          <cell r="E108">
            <v>3675.12</v>
          </cell>
        </row>
        <row r="109">
          <cell r="C109">
            <v>3000</v>
          </cell>
          <cell r="D109">
            <v>3675.12</v>
          </cell>
          <cell r="E109">
            <v>3675.12</v>
          </cell>
        </row>
        <row r="110">
          <cell r="C110">
            <v>265.2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56"/>
  <sheetViews>
    <sheetView tabSelected="1" topLeftCell="A2" workbookViewId="0">
      <selection activeCell="M10" sqref="M10"/>
    </sheetView>
  </sheetViews>
  <sheetFormatPr defaultColWidth="9.140625" defaultRowHeight="12.75" x14ac:dyDescent="0.2"/>
  <cols>
    <col min="1" max="1" width="49.42578125" style="1" customWidth="1"/>
    <col min="2" max="2" width="6.85546875" style="2" customWidth="1"/>
    <col min="3" max="3" width="11.42578125" style="1" customWidth="1"/>
    <col min="4" max="4" width="11.7109375" style="1" customWidth="1"/>
    <col min="5" max="5" width="11.42578125" style="1" customWidth="1"/>
    <col min="6" max="6" width="12.28515625" style="1" customWidth="1"/>
    <col min="7" max="7" width="11.7109375" style="1" customWidth="1"/>
    <col min="8" max="8" width="9.42578125" style="1" customWidth="1"/>
    <col min="9" max="9" width="11.140625" style="1" customWidth="1"/>
    <col min="10" max="10" width="8.28515625" style="1" customWidth="1"/>
    <col min="11" max="11" width="10" style="1" customWidth="1"/>
    <col min="12" max="12" width="11.42578125" style="1" customWidth="1"/>
    <col min="13" max="13" width="13.28515625" style="1" customWidth="1"/>
    <col min="14" max="14" width="10.28515625" style="1" customWidth="1"/>
    <col min="15" max="15" width="11.42578125" style="1" customWidth="1"/>
    <col min="16" max="16" width="10.42578125" style="1" customWidth="1"/>
    <col min="17" max="16384" width="9.140625" style="1"/>
  </cols>
  <sheetData>
    <row r="1" spans="1:16" hidden="1" x14ac:dyDescent="0.2">
      <c r="J1" s="3"/>
    </row>
    <row r="2" spans="1:16" ht="26.25" customHeight="1" x14ac:dyDescent="0.2">
      <c r="J2" s="3"/>
    </row>
    <row r="3" spans="1:16" ht="18" customHeight="1" x14ac:dyDescent="0.2">
      <c r="H3" s="3"/>
      <c r="I3" s="4" t="s">
        <v>0</v>
      </c>
      <c r="J3" s="4"/>
      <c r="N3" s="5"/>
      <c r="O3" s="5"/>
      <c r="P3" s="6"/>
    </row>
    <row r="4" spans="1:16" ht="13.5" customHeight="1" x14ac:dyDescent="0.2">
      <c r="G4" s="7" t="s">
        <v>1</v>
      </c>
      <c r="H4" s="7"/>
      <c r="I4" s="7"/>
      <c r="J4" s="7"/>
      <c r="N4" s="5"/>
      <c r="O4" s="5"/>
      <c r="P4" s="6"/>
    </row>
    <row r="5" spans="1:16" ht="16.5" customHeight="1" x14ac:dyDescent="0.2">
      <c r="H5" s="7" t="s">
        <v>2</v>
      </c>
      <c r="I5" s="7"/>
      <c r="J5" s="7"/>
      <c r="N5" s="5"/>
      <c r="O5" s="5"/>
      <c r="P5" s="6"/>
    </row>
    <row r="6" spans="1:16" ht="16.5" customHeight="1" x14ac:dyDescent="0.2">
      <c r="H6" s="8"/>
      <c r="I6" s="8"/>
      <c r="J6" s="8"/>
      <c r="N6" s="5"/>
      <c r="O6" s="5"/>
      <c r="P6" s="6"/>
    </row>
    <row r="7" spans="1:16" ht="13.5" customHeight="1" x14ac:dyDescent="0.2">
      <c r="H7" s="8"/>
      <c r="I7" s="8"/>
      <c r="J7" s="8"/>
      <c r="N7" s="5"/>
      <c r="O7" s="5"/>
      <c r="P7" s="6"/>
    </row>
    <row r="8" spans="1:16" ht="15.75" x14ac:dyDescent="0.25">
      <c r="A8" s="9" t="s">
        <v>3</v>
      </c>
      <c r="B8" s="9"/>
      <c r="C8" s="9"/>
      <c r="D8" s="9"/>
      <c r="E8" s="9"/>
      <c r="F8" s="9"/>
      <c r="G8" s="9"/>
      <c r="H8" s="9"/>
      <c r="I8" s="9"/>
      <c r="J8" s="9"/>
    </row>
    <row r="9" spans="1:16" ht="17.25" customHeight="1" x14ac:dyDescent="0.25">
      <c r="A9" s="9" t="s">
        <v>4</v>
      </c>
      <c r="B9" s="9"/>
      <c r="C9" s="9"/>
      <c r="D9" s="9"/>
      <c r="E9" s="9"/>
      <c r="F9" s="9"/>
      <c r="G9" s="9"/>
      <c r="H9" s="9"/>
      <c r="I9" s="9"/>
      <c r="J9" s="9"/>
    </row>
    <row r="10" spans="1:16" ht="17.25" customHeight="1" x14ac:dyDescent="0.25">
      <c r="A10" s="9" t="s">
        <v>5</v>
      </c>
      <c r="B10" s="9"/>
      <c r="C10" s="9"/>
      <c r="D10" s="9"/>
      <c r="E10" s="9"/>
      <c r="F10" s="9"/>
      <c r="G10" s="9"/>
      <c r="H10" s="9"/>
      <c r="I10" s="9"/>
      <c r="J10" s="9"/>
    </row>
    <row r="11" spans="1:16" ht="17.25" customHeight="1" x14ac:dyDescent="0.25">
      <c r="A11" s="10"/>
      <c r="B11" s="10"/>
      <c r="C11" s="10"/>
      <c r="D11" s="10"/>
      <c r="E11" s="10"/>
      <c r="F11" s="10"/>
      <c r="G11" s="10"/>
      <c r="H11" s="10"/>
      <c r="I11" s="10"/>
      <c r="J11" s="10"/>
    </row>
    <row r="12" spans="1:16" ht="14.25" customHeight="1" x14ac:dyDescent="0.2">
      <c r="J12" s="8" t="s">
        <v>6</v>
      </c>
      <c r="P12" s="11"/>
    </row>
    <row r="13" spans="1:16" ht="12.75" customHeight="1" x14ac:dyDescent="0.2">
      <c r="A13" s="12" t="s">
        <v>7</v>
      </c>
      <c r="B13" s="13" t="s">
        <v>8</v>
      </c>
      <c r="C13" s="14" t="s">
        <v>9</v>
      </c>
      <c r="D13" s="14" t="s">
        <v>10</v>
      </c>
      <c r="E13" s="14" t="s">
        <v>11</v>
      </c>
      <c r="F13" s="14" t="s">
        <v>12</v>
      </c>
      <c r="G13" s="15" t="s">
        <v>13</v>
      </c>
      <c r="H13" s="12" t="s">
        <v>14</v>
      </c>
      <c r="I13" s="12" t="s">
        <v>15</v>
      </c>
      <c r="J13" s="16" t="s">
        <v>16</v>
      </c>
    </row>
    <row r="14" spans="1:16" s="20" customFormat="1" ht="32.25" customHeight="1" x14ac:dyDescent="0.2">
      <c r="A14" s="12"/>
      <c r="B14" s="17"/>
      <c r="C14" s="18"/>
      <c r="D14" s="18"/>
      <c r="E14" s="18"/>
      <c r="F14" s="18"/>
      <c r="G14" s="15"/>
      <c r="H14" s="12"/>
      <c r="I14" s="12"/>
      <c r="J14" s="19"/>
    </row>
    <row r="15" spans="1:16" s="20" customFormat="1" ht="56.25" customHeight="1" x14ac:dyDescent="0.2">
      <c r="A15" s="12"/>
      <c r="B15" s="21"/>
      <c r="C15" s="22"/>
      <c r="D15" s="22"/>
      <c r="E15" s="22"/>
      <c r="F15" s="22"/>
      <c r="G15" s="15"/>
      <c r="H15" s="12"/>
      <c r="I15" s="12"/>
      <c r="J15" s="23"/>
    </row>
    <row r="16" spans="1:16" s="28" customFormat="1" ht="12" x14ac:dyDescent="0.2">
      <c r="A16" s="24">
        <v>1</v>
      </c>
      <c r="B16" s="25">
        <v>2</v>
      </c>
      <c r="C16" s="26">
        <v>3</v>
      </c>
      <c r="D16" s="26">
        <v>4</v>
      </c>
      <c r="E16" s="26">
        <v>5</v>
      </c>
      <c r="F16" s="26">
        <v>6</v>
      </c>
      <c r="G16" s="26">
        <v>7</v>
      </c>
      <c r="H16" s="26"/>
      <c r="I16" s="27">
        <v>8</v>
      </c>
      <c r="J16" s="27">
        <v>10</v>
      </c>
    </row>
    <row r="17" spans="1:20" x14ac:dyDescent="0.2">
      <c r="A17" s="29" t="s">
        <v>17</v>
      </c>
      <c r="B17" s="30">
        <v>1</v>
      </c>
      <c r="C17" s="31">
        <f>22514537+[1]SPPS!C20-1322.5</f>
        <v>22705277.5</v>
      </c>
      <c r="D17" s="31">
        <f>28046119.82783+[1]SPPS!D20-4404.6</f>
        <v>28230635.427829999</v>
      </c>
      <c r="E17" s="31">
        <f>25965290.08835+[1]SPPS!E20-3137.8</f>
        <v>26136266.928350002</v>
      </c>
      <c r="F17" s="31">
        <f>F18+F21+F28+F54</f>
        <v>29954116.815439999</v>
      </c>
      <c r="G17" s="31">
        <f>310274.0957+[1]SPPS!G20</f>
        <v>310727.09570000001</v>
      </c>
      <c r="H17" s="31">
        <v>26765.63363</v>
      </c>
      <c r="I17" s="31">
        <f>50300.66246+[1]SPPS!M20</f>
        <v>50300.66246</v>
      </c>
      <c r="J17" s="31">
        <v>1119.9302700000001</v>
      </c>
      <c r="M17" s="32"/>
      <c r="N17" s="32"/>
      <c r="O17" s="32"/>
      <c r="P17" s="32"/>
      <c r="Q17" s="32"/>
      <c r="R17" s="32"/>
      <c r="S17" s="32"/>
      <c r="T17" s="32"/>
    </row>
    <row r="18" spans="1:20" s="33" customFormat="1" x14ac:dyDescent="0.2">
      <c r="A18" s="29" t="s">
        <v>18</v>
      </c>
      <c r="B18" s="30">
        <v>11</v>
      </c>
      <c r="C18" s="31">
        <f>C19</f>
        <v>21000</v>
      </c>
      <c r="D18" s="31">
        <f t="shared" ref="D18:J18" si="0">D19</f>
        <v>21000</v>
      </c>
      <c r="E18" s="31">
        <f t="shared" si="0"/>
        <v>16244.027269999999</v>
      </c>
      <c r="F18" s="31">
        <f t="shared" si="0"/>
        <v>16244.027269999999</v>
      </c>
      <c r="G18" s="31">
        <f t="shared" si="0"/>
        <v>0</v>
      </c>
      <c r="H18" s="31">
        <f t="shared" si="0"/>
        <v>0</v>
      </c>
      <c r="I18" s="31">
        <f t="shared" si="0"/>
        <v>0</v>
      </c>
      <c r="J18" s="31">
        <f t="shared" si="0"/>
        <v>0</v>
      </c>
      <c r="M18" s="34"/>
      <c r="N18" s="34"/>
    </row>
    <row r="19" spans="1:20" x14ac:dyDescent="0.2">
      <c r="A19" s="35" t="s">
        <v>19</v>
      </c>
      <c r="B19" s="36" t="s">
        <v>20</v>
      </c>
      <c r="C19" s="37">
        <v>21000</v>
      </c>
      <c r="D19" s="37">
        <v>21000</v>
      </c>
      <c r="E19" s="37">
        <v>16244.027269999999</v>
      </c>
      <c r="F19" s="37">
        <v>16244.027269999999</v>
      </c>
      <c r="G19" s="37">
        <v>0</v>
      </c>
      <c r="H19" s="37">
        <v>0</v>
      </c>
      <c r="I19" s="37">
        <v>0</v>
      </c>
      <c r="J19" s="37">
        <v>0</v>
      </c>
      <c r="L19" s="32"/>
      <c r="M19" s="32"/>
      <c r="N19" s="32"/>
      <c r="O19" s="32"/>
      <c r="P19" s="32"/>
      <c r="Q19" s="32"/>
      <c r="R19" s="32"/>
      <c r="S19" s="32"/>
    </row>
    <row r="20" spans="1:20" x14ac:dyDescent="0.2">
      <c r="A20" s="35" t="s">
        <v>21</v>
      </c>
      <c r="B20" s="36" t="s">
        <v>22</v>
      </c>
      <c r="C20" s="37">
        <v>21000</v>
      </c>
      <c r="D20" s="37">
        <v>21000</v>
      </c>
      <c r="E20" s="37">
        <v>16244.027269999999</v>
      </c>
      <c r="F20" s="37">
        <v>16244.027269999999</v>
      </c>
      <c r="G20" s="37">
        <v>0</v>
      </c>
      <c r="H20" s="37">
        <v>0</v>
      </c>
      <c r="I20" s="37">
        <v>0</v>
      </c>
      <c r="J20" s="37">
        <v>0</v>
      </c>
    </row>
    <row r="21" spans="1:20" s="20" customFormat="1" x14ac:dyDescent="0.2">
      <c r="A21" s="29" t="s">
        <v>23</v>
      </c>
      <c r="B21" s="30">
        <v>13</v>
      </c>
      <c r="C21" s="31">
        <f>C22+C25</f>
        <v>877917.8</v>
      </c>
      <c r="D21" s="31">
        <f t="shared" ref="D21:J21" si="1">D22+D25</f>
        <v>770985.7</v>
      </c>
      <c r="E21" s="31">
        <f t="shared" si="1"/>
        <v>521378.76189000002</v>
      </c>
      <c r="F21" s="31">
        <f t="shared" si="1"/>
        <v>521378.80189</v>
      </c>
      <c r="G21" s="31">
        <f t="shared" si="1"/>
        <v>0</v>
      </c>
      <c r="H21" s="31">
        <f t="shared" si="1"/>
        <v>0</v>
      </c>
      <c r="I21" s="31">
        <f t="shared" si="1"/>
        <v>0</v>
      </c>
      <c r="J21" s="31">
        <f t="shared" si="1"/>
        <v>0</v>
      </c>
    </row>
    <row r="22" spans="1:20" x14ac:dyDescent="0.2">
      <c r="A22" s="35" t="s">
        <v>24</v>
      </c>
      <c r="B22" s="36" t="s">
        <v>25</v>
      </c>
      <c r="C22" s="37">
        <f>106124.4+[1]SPPS!C21</f>
        <v>106124.4</v>
      </c>
      <c r="D22" s="37">
        <f>16349.6+[1]SPPS!D21</f>
        <v>17114.599999999999</v>
      </c>
      <c r="E22" s="37">
        <f>4060.20189+[1]SPPS!E21</f>
        <v>4825.3618900000001</v>
      </c>
      <c r="F22" s="37">
        <f>4060.20189+[1]SPPS!F21</f>
        <v>4825.4018900000001</v>
      </c>
      <c r="G22" s="37">
        <v>0</v>
      </c>
      <c r="H22" s="37">
        <v>0</v>
      </c>
      <c r="I22" s="37">
        <v>0</v>
      </c>
      <c r="J22" s="37">
        <v>0</v>
      </c>
    </row>
    <row r="23" spans="1:20" ht="25.5" x14ac:dyDescent="0.2">
      <c r="A23" s="35" t="s">
        <v>26</v>
      </c>
      <c r="B23" s="36" t="s">
        <v>27</v>
      </c>
      <c r="C23" s="37">
        <v>9400</v>
      </c>
      <c r="D23" s="37">
        <f>11555+[1]SPPS!D22</f>
        <v>12320</v>
      </c>
      <c r="E23" s="37">
        <f>4060.20189+[1]SPPS!E22</f>
        <v>4825.3618900000001</v>
      </c>
      <c r="F23" s="37">
        <f>4060.20189+[1]SPPS!F22</f>
        <v>4825.4018900000001</v>
      </c>
      <c r="G23" s="37">
        <v>0</v>
      </c>
      <c r="H23" s="37">
        <v>0</v>
      </c>
      <c r="I23" s="37">
        <v>0</v>
      </c>
      <c r="J23" s="37">
        <v>0</v>
      </c>
    </row>
    <row r="24" spans="1:20" ht="25.5" x14ac:dyDescent="0.2">
      <c r="A24" s="35" t="s">
        <v>28</v>
      </c>
      <c r="B24" s="36" t="s">
        <v>29</v>
      </c>
      <c r="C24" s="37">
        <v>96724.4</v>
      </c>
      <c r="D24" s="37">
        <v>4794.6000000000004</v>
      </c>
      <c r="E24" s="37">
        <v>0</v>
      </c>
      <c r="F24" s="37">
        <v>0</v>
      </c>
      <c r="G24" s="37">
        <v>0</v>
      </c>
      <c r="H24" s="37">
        <v>0</v>
      </c>
      <c r="I24" s="37">
        <v>0</v>
      </c>
      <c r="J24" s="37">
        <v>0</v>
      </c>
    </row>
    <row r="25" spans="1:20" x14ac:dyDescent="0.2">
      <c r="A25" s="35" t="s">
        <v>30</v>
      </c>
      <c r="B25" s="36" t="s">
        <v>31</v>
      </c>
      <c r="C25" s="37">
        <f>770649.4+[1]SPPS!C23</f>
        <v>771793.4</v>
      </c>
      <c r="D25" s="37">
        <f>752727.1+[1]SPPS!D23</f>
        <v>753871.1</v>
      </c>
      <c r="E25" s="37">
        <f>515099.2+[1]SPPS!E23</f>
        <v>516553.4</v>
      </c>
      <c r="F25" s="37">
        <f>515099.2+[1]SPPS!F23</f>
        <v>516553.4</v>
      </c>
      <c r="G25" s="37">
        <v>0</v>
      </c>
      <c r="H25" s="37">
        <v>0</v>
      </c>
      <c r="I25" s="37">
        <v>0</v>
      </c>
      <c r="J25" s="37">
        <v>0</v>
      </c>
    </row>
    <row r="26" spans="1:20" ht="27.75" customHeight="1" x14ac:dyDescent="0.2">
      <c r="A26" s="35" t="s">
        <v>32</v>
      </c>
      <c r="B26" s="36" t="s">
        <v>33</v>
      </c>
      <c r="C26" s="37">
        <f>370699.6+[1]SPPS!C24</f>
        <v>371843.6</v>
      </c>
      <c r="D26" s="37">
        <f>486052+[1]SPPS!D24</f>
        <v>487196</v>
      </c>
      <c r="E26" s="37">
        <f>368146.74403+[1]SPPS!E24</f>
        <v>369600.94403000001</v>
      </c>
      <c r="F26" s="37">
        <f>368146.74403+[1]SPPS!F24</f>
        <v>369600.94403000001</v>
      </c>
      <c r="G26" s="37">
        <v>0</v>
      </c>
      <c r="H26" s="37">
        <v>0</v>
      </c>
      <c r="I26" s="37">
        <v>0</v>
      </c>
      <c r="J26" s="37">
        <v>0</v>
      </c>
      <c r="L26" s="38"/>
    </row>
    <row r="27" spans="1:20" ht="27.75" customHeight="1" x14ac:dyDescent="0.2">
      <c r="A27" s="35" t="s">
        <v>34</v>
      </c>
      <c r="B27" s="36" t="s">
        <v>35</v>
      </c>
      <c r="C27" s="37">
        <v>399949.8</v>
      </c>
      <c r="D27" s="37">
        <v>266675.09999999998</v>
      </c>
      <c r="E27" s="37">
        <v>146952.52088</v>
      </c>
      <c r="F27" s="37">
        <v>146952.52088</v>
      </c>
      <c r="G27" s="37">
        <v>0</v>
      </c>
      <c r="H27" s="37">
        <v>0</v>
      </c>
      <c r="I27" s="37">
        <v>0</v>
      </c>
      <c r="J27" s="37">
        <v>0</v>
      </c>
    </row>
    <row r="28" spans="1:20" s="20" customFormat="1" x14ac:dyDescent="0.2">
      <c r="A28" s="29" t="s">
        <v>36</v>
      </c>
      <c r="B28" s="30">
        <v>14</v>
      </c>
      <c r="C28" s="31">
        <f>C29+C31+C39+C45+C47</f>
        <v>21789376.899999999</v>
      </c>
      <c r="D28" s="31">
        <f t="shared" ref="D28:J28" si="2">D29+D31+D39+D45+D47</f>
        <v>27422237.327829998</v>
      </c>
      <c r="E28" s="31">
        <f t="shared" si="2"/>
        <v>25592229.785840005</v>
      </c>
      <c r="F28" s="31">
        <f t="shared" si="2"/>
        <v>29410079.744309999</v>
      </c>
      <c r="G28" s="31">
        <f t="shared" si="2"/>
        <v>310727.09570000001</v>
      </c>
      <c r="H28" s="31">
        <f t="shared" si="2"/>
        <v>26765.63363</v>
      </c>
      <c r="I28" s="31">
        <f t="shared" si="2"/>
        <v>50300.66246</v>
      </c>
      <c r="J28" s="31">
        <f t="shared" si="2"/>
        <v>1119.9302700000001</v>
      </c>
      <c r="M28" s="39"/>
    </row>
    <row r="29" spans="1:20" x14ac:dyDescent="0.2">
      <c r="A29" s="35" t="s">
        <v>37</v>
      </c>
      <c r="B29" s="36" t="s">
        <v>38</v>
      </c>
      <c r="C29" s="37">
        <v>0</v>
      </c>
      <c r="D29" s="37">
        <v>90</v>
      </c>
      <c r="E29" s="37">
        <v>222.77355</v>
      </c>
      <c r="F29" s="37">
        <v>222.77355</v>
      </c>
      <c r="G29" s="37">
        <v>0</v>
      </c>
      <c r="H29" s="37">
        <v>0</v>
      </c>
      <c r="I29" s="37">
        <v>0</v>
      </c>
      <c r="J29" s="37">
        <v>0</v>
      </c>
    </row>
    <row r="30" spans="1:20" ht="38.25" x14ac:dyDescent="0.2">
      <c r="A30" s="35" t="s">
        <v>39</v>
      </c>
      <c r="B30" s="36" t="s">
        <v>40</v>
      </c>
      <c r="C30" s="37">
        <v>0</v>
      </c>
      <c r="D30" s="37">
        <v>90</v>
      </c>
      <c r="E30" s="37">
        <v>222.77355</v>
      </c>
      <c r="F30" s="37">
        <v>222.77355</v>
      </c>
      <c r="G30" s="37">
        <v>0</v>
      </c>
      <c r="H30" s="37">
        <v>0</v>
      </c>
      <c r="I30" s="37">
        <v>0</v>
      </c>
      <c r="J30" s="37">
        <v>0</v>
      </c>
    </row>
    <row r="31" spans="1:20" x14ac:dyDescent="0.2">
      <c r="A31" s="35" t="s">
        <v>41</v>
      </c>
      <c r="B31" s="36" t="s">
        <v>42</v>
      </c>
      <c r="C31" s="37">
        <f>835183.6+[1]SPPS!C25</f>
        <v>836704.6</v>
      </c>
      <c r="D31" s="37">
        <f>876533.2+[1]SPPS!D25</f>
        <v>878178.39999999991</v>
      </c>
      <c r="E31" s="37">
        <f>951979.85908+[1]SPPS!E25</f>
        <v>953522.95907999994</v>
      </c>
      <c r="F31" s="37">
        <f>948822.96045+[1]SPPS!E25</f>
        <v>950366.06044999999</v>
      </c>
      <c r="G31" s="37">
        <v>98045.789629999999</v>
      </c>
      <c r="H31" s="37">
        <v>26733.63363</v>
      </c>
      <c r="I31" s="37">
        <v>50215.94526</v>
      </c>
      <c r="J31" s="37">
        <v>1119.9302700000001</v>
      </c>
    </row>
    <row r="32" spans="1:20" ht="25.5" x14ac:dyDescent="0.2">
      <c r="A32" s="35" t="s">
        <v>43</v>
      </c>
      <c r="B32" s="36" t="s">
        <v>44</v>
      </c>
      <c r="C32" s="37">
        <v>0</v>
      </c>
      <c r="D32" s="37">
        <v>0</v>
      </c>
      <c r="E32" s="37">
        <v>0</v>
      </c>
      <c r="F32" s="37">
        <v>0</v>
      </c>
      <c r="G32" s="37">
        <v>0</v>
      </c>
      <c r="H32" s="37">
        <v>0</v>
      </c>
      <c r="I32" s="37">
        <v>0</v>
      </c>
      <c r="J32" s="37">
        <v>0</v>
      </c>
    </row>
    <row r="33" spans="1:13" x14ac:dyDescent="0.2">
      <c r="A33" s="35" t="s">
        <v>45</v>
      </c>
      <c r="B33" s="36" t="s">
        <v>46</v>
      </c>
      <c r="C33" s="37">
        <v>6750</v>
      </c>
      <c r="D33" s="37">
        <v>6750</v>
      </c>
      <c r="E33" s="37">
        <v>6560.7296100000003</v>
      </c>
      <c r="F33" s="37">
        <v>6560.7296100000003</v>
      </c>
      <c r="G33" s="37">
        <v>0</v>
      </c>
      <c r="H33" s="37">
        <v>0</v>
      </c>
      <c r="I33" s="37">
        <v>0</v>
      </c>
      <c r="J33" s="37">
        <v>0</v>
      </c>
    </row>
    <row r="34" spans="1:13" x14ac:dyDescent="0.2">
      <c r="A34" s="35" t="s">
        <v>47</v>
      </c>
      <c r="B34" s="36" t="s">
        <v>48</v>
      </c>
      <c r="C34" s="37">
        <f>575537.7+[1]SPPS!C26</f>
        <v>577057.69999999995</v>
      </c>
      <c r="D34" s="37">
        <f>582249.3+[1]SPPS!D26</f>
        <v>583869.30000000005</v>
      </c>
      <c r="E34" s="37">
        <f>611545.4+[1]SPPS!E26</f>
        <v>613063.38</v>
      </c>
      <c r="F34" s="37">
        <f>593116.92244+[1]SPPS!F26</f>
        <v>594634.90243999998</v>
      </c>
      <c r="G34" s="37">
        <v>52963.333570000003</v>
      </c>
      <c r="H34" s="37">
        <v>6036.8562899999997</v>
      </c>
      <c r="I34" s="37">
        <v>49038.476009999998</v>
      </c>
      <c r="J34" s="37">
        <v>1113.7622799999999</v>
      </c>
    </row>
    <row r="35" spans="1:13" x14ac:dyDescent="0.2">
      <c r="A35" s="35" t="s">
        <v>49</v>
      </c>
      <c r="B35" s="36" t="s">
        <v>50</v>
      </c>
      <c r="C35" s="37">
        <f>122725.9+[1]SPPS!C27</f>
        <v>122726.9</v>
      </c>
      <c r="D35" s="37">
        <f>128412.9+[1]SPPS!D27</f>
        <v>128438.09999999999</v>
      </c>
      <c r="E35" s="37">
        <f>125839.69872+[1]SPPS!E27</f>
        <v>125864.79872000001</v>
      </c>
      <c r="F35" s="37">
        <f>141054.73501+[1]SPPS!F27</f>
        <v>141079.84500999999</v>
      </c>
      <c r="G35" s="37">
        <v>44683.504950000002</v>
      </c>
      <c r="H35" s="37">
        <v>20696.777340000001</v>
      </c>
      <c r="I35" s="37">
        <v>1082.8722399999999</v>
      </c>
      <c r="J35" s="37">
        <v>6.1679899999999996</v>
      </c>
    </row>
    <row r="36" spans="1:13" ht="25.5" x14ac:dyDescent="0.2">
      <c r="A36" s="35" t="s">
        <v>51</v>
      </c>
      <c r="B36" s="36" t="s">
        <v>52</v>
      </c>
      <c r="C36" s="37">
        <v>1370</v>
      </c>
      <c r="D36" s="37">
        <v>85121</v>
      </c>
      <c r="E36" s="37">
        <v>88839.29333</v>
      </c>
      <c r="F36" s="37">
        <v>88895.785650000005</v>
      </c>
      <c r="G36" s="37">
        <v>398.95110999999997</v>
      </c>
      <c r="H36" s="37">
        <v>0</v>
      </c>
      <c r="I36" s="37">
        <v>94.597009999999997</v>
      </c>
      <c r="J36" s="37">
        <v>0</v>
      </c>
    </row>
    <row r="37" spans="1:13" ht="16.5" customHeight="1" x14ac:dyDescent="0.2">
      <c r="A37" s="35" t="s">
        <v>53</v>
      </c>
      <c r="B37" s="36" t="s">
        <v>54</v>
      </c>
      <c r="C37" s="37">
        <v>33800</v>
      </c>
      <c r="D37" s="37">
        <v>19000</v>
      </c>
      <c r="E37" s="37">
        <v>19864.070969999997</v>
      </c>
      <c r="F37" s="37">
        <v>19864.070969999997</v>
      </c>
      <c r="G37" s="37">
        <v>0</v>
      </c>
      <c r="H37" s="37">
        <v>0</v>
      </c>
      <c r="I37" s="37">
        <v>0</v>
      </c>
      <c r="J37" s="37">
        <v>0</v>
      </c>
    </row>
    <row r="38" spans="1:13" x14ac:dyDescent="0.2">
      <c r="A38" s="35" t="s">
        <v>55</v>
      </c>
      <c r="B38" s="36" t="s">
        <v>56</v>
      </c>
      <c r="C38" s="37">
        <v>95000</v>
      </c>
      <c r="D38" s="37">
        <v>55000</v>
      </c>
      <c r="E38" s="37">
        <v>99330.716769999999</v>
      </c>
      <c r="F38" s="37">
        <v>99330.716769999999</v>
      </c>
      <c r="G38" s="37">
        <v>0</v>
      </c>
      <c r="H38" s="37">
        <v>0</v>
      </c>
      <c r="I38" s="37">
        <v>0</v>
      </c>
      <c r="J38" s="37">
        <v>0</v>
      </c>
    </row>
    <row r="39" spans="1:13" x14ac:dyDescent="0.2">
      <c r="A39" s="35" t="s">
        <v>57</v>
      </c>
      <c r="B39" s="36" t="s">
        <v>58</v>
      </c>
      <c r="C39" s="37">
        <f>3727.5+[1]SPPS!C28</f>
        <v>3747.5</v>
      </c>
      <c r="D39" s="37">
        <v>26568.85</v>
      </c>
      <c r="E39" s="37">
        <v>26781.608940000002</v>
      </c>
      <c r="F39" s="37">
        <f>1035332.64971+[1]SPPS!F28</f>
        <v>1036100.14971</v>
      </c>
      <c r="G39" s="37">
        <v>0</v>
      </c>
      <c r="H39" s="37">
        <v>0</v>
      </c>
      <c r="I39" s="37">
        <v>0</v>
      </c>
      <c r="J39" s="37">
        <v>0</v>
      </c>
    </row>
    <row r="40" spans="1:13" ht="25.5" x14ac:dyDescent="0.2">
      <c r="A40" s="35" t="s">
        <v>59</v>
      </c>
      <c r="B40" s="36" t="s">
        <v>60</v>
      </c>
      <c r="C40" s="37">
        <v>0</v>
      </c>
      <c r="D40" s="37">
        <v>0</v>
      </c>
      <c r="E40" s="37">
        <v>0</v>
      </c>
      <c r="F40" s="37">
        <v>0</v>
      </c>
      <c r="G40" s="37">
        <v>0</v>
      </c>
      <c r="H40" s="37">
        <v>0</v>
      </c>
      <c r="I40" s="37">
        <v>0</v>
      </c>
      <c r="J40" s="37">
        <v>0</v>
      </c>
    </row>
    <row r="41" spans="1:13" ht="25.5" x14ac:dyDescent="0.2">
      <c r="A41" s="35" t="s">
        <v>61</v>
      </c>
      <c r="B41" s="36" t="s">
        <v>62</v>
      </c>
      <c r="C41" s="37">
        <f>1232.5+[1]SPPS!C29</f>
        <v>1252.5</v>
      </c>
      <c r="D41" s="37">
        <v>1560.5</v>
      </c>
      <c r="E41" s="37">
        <v>1250.1300000000001</v>
      </c>
      <c r="F41" s="37">
        <v>67692.800000000003</v>
      </c>
      <c r="G41" s="37">
        <v>0</v>
      </c>
      <c r="H41" s="37">
        <v>0</v>
      </c>
      <c r="I41" s="37">
        <v>0</v>
      </c>
      <c r="J41" s="37">
        <v>0</v>
      </c>
    </row>
    <row r="42" spans="1:13" ht="25.5" x14ac:dyDescent="0.2">
      <c r="A42" s="35" t="s">
        <v>63</v>
      </c>
      <c r="B42" s="36" t="s">
        <v>64</v>
      </c>
      <c r="C42" s="37">
        <v>2495</v>
      </c>
      <c r="D42" s="37">
        <v>25008.35</v>
      </c>
      <c r="E42" s="37">
        <v>25531.478940000001</v>
      </c>
      <c r="F42" s="37">
        <f>786040.10381+[1]SPPS!F30</f>
        <v>786040.60381</v>
      </c>
      <c r="G42" s="37">
        <v>0</v>
      </c>
      <c r="H42" s="37">
        <v>0</v>
      </c>
      <c r="I42" s="37">
        <v>0</v>
      </c>
      <c r="J42" s="37">
        <v>0</v>
      </c>
    </row>
    <row r="43" spans="1:13" ht="25.5" x14ac:dyDescent="0.2">
      <c r="A43" s="35" t="s">
        <v>65</v>
      </c>
      <c r="B43" s="36" t="s">
        <v>66</v>
      </c>
      <c r="C43" s="37">
        <v>0</v>
      </c>
      <c r="D43" s="37">
        <v>0</v>
      </c>
      <c r="E43" s="37">
        <v>0</v>
      </c>
      <c r="F43" s="37">
        <v>10060.6486</v>
      </c>
      <c r="G43" s="37">
        <v>0</v>
      </c>
      <c r="H43" s="37">
        <v>0</v>
      </c>
      <c r="I43" s="37">
        <v>0</v>
      </c>
      <c r="J43" s="37">
        <v>0</v>
      </c>
    </row>
    <row r="44" spans="1:13" ht="25.5" x14ac:dyDescent="0.2">
      <c r="A44" s="35" t="s">
        <v>67</v>
      </c>
      <c r="B44" s="36" t="s">
        <v>68</v>
      </c>
      <c r="C44" s="37">
        <v>0</v>
      </c>
      <c r="D44" s="37">
        <v>0</v>
      </c>
      <c r="E44" s="37">
        <v>0</v>
      </c>
      <c r="F44" s="37">
        <f>171692.77046+[1]SPPS!F32</f>
        <v>172306.17045999999</v>
      </c>
      <c r="G44" s="37">
        <v>0</v>
      </c>
      <c r="H44" s="37">
        <v>0</v>
      </c>
      <c r="I44" s="37">
        <v>0</v>
      </c>
      <c r="J44" s="37">
        <v>0</v>
      </c>
    </row>
    <row r="45" spans="1:13" x14ac:dyDescent="0.2">
      <c r="A45" s="35" t="s">
        <v>69</v>
      </c>
      <c r="B45" s="36" t="s">
        <v>70</v>
      </c>
      <c r="C45" s="37">
        <v>8135.1</v>
      </c>
      <c r="D45" s="37">
        <v>118580.7</v>
      </c>
      <c r="E45" s="37">
        <v>88751.305980000005</v>
      </c>
      <c r="F45" s="37">
        <v>89645.060599999997</v>
      </c>
      <c r="G45" s="37">
        <v>0</v>
      </c>
      <c r="H45" s="37">
        <v>0</v>
      </c>
      <c r="I45" s="37">
        <v>0</v>
      </c>
      <c r="J45" s="37">
        <v>0</v>
      </c>
    </row>
    <row r="46" spans="1:13" x14ac:dyDescent="0.2">
      <c r="A46" s="35" t="s">
        <v>71</v>
      </c>
      <c r="B46" s="36" t="s">
        <v>72</v>
      </c>
      <c r="C46" s="37">
        <v>8135.1</v>
      </c>
      <c r="D46" s="37">
        <v>118580.7</v>
      </c>
      <c r="E46" s="37">
        <v>88751.305980000005</v>
      </c>
      <c r="F46" s="37">
        <v>89645.060599999997</v>
      </c>
      <c r="G46" s="37">
        <v>0</v>
      </c>
      <c r="H46" s="37">
        <v>0</v>
      </c>
      <c r="I46" s="37">
        <v>0</v>
      </c>
      <c r="J46" s="37">
        <v>0</v>
      </c>
    </row>
    <row r="47" spans="1:13" x14ac:dyDescent="0.2">
      <c r="A47" s="35" t="s">
        <v>73</v>
      </c>
      <c r="B47" s="36" t="s">
        <v>74</v>
      </c>
      <c r="C47" s="37">
        <f>20751411.7+[1]SPPS!C33</f>
        <v>20940789.699999999</v>
      </c>
      <c r="D47" s="37">
        <f>26213453.37783+[1]SPPS!D33</f>
        <v>26398819.377829999</v>
      </c>
      <c r="E47" s="37">
        <f>24352599.03829+[1]SPPS!E33</f>
        <v>24522951.138290003</v>
      </c>
      <c r="F47" s="37">
        <v>27333745.699999999</v>
      </c>
      <c r="G47" s="37">
        <f>212228.30607+[1]SPPS!G33</f>
        <v>212681.30606999999</v>
      </c>
      <c r="H47" s="37">
        <v>32</v>
      </c>
      <c r="I47" s="37">
        <v>84.717199999999991</v>
      </c>
      <c r="J47" s="37">
        <v>0</v>
      </c>
      <c r="M47" s="32"/>
    </row>
    <row r="48" spans="1:13" x14ac:dyDescent="0.2">
      <c r="A48" s="35" t="s">
        <v>75</v>
      </c>
      <c r="B48" s="36" t="s">
        <v>76</v>
      </c>
      <c r="C48" s="37">
        <v>0</v>
      </c>
      <c r="D48" s="37">
        <v>0</v>
      </c>
      <c r="E48" s="37">
        <v>0</v>
      </c>
      <c r="F48" s="37">
        <f>27343.62217+[1]SPPS!F34</f>
        <v>27513.622169999999</v>
      </c>
      <c r="G48" s="37">
        <v>554.82286999999997</v>
      </c>
      <c r="H48" s="37">
        <v>32</v>
      </c>
      <c r="I48" s="37">
        <v>84.717199999999991</v>
      </c>
      <c r="J48" s="37">
        <v>0</v>
      </c>
    </row>
    <row r="49" spans="1:21" x14ac:dyDescent="0.2">
      <c r="A49" s="35" t="s">
        <v>77</v>
      </c>
      <c r="B49" s="36" t="s">
        <v>78</v>
      </c>
      <c r="C49" s="37">
        <v>0</v>
      </c>
      <c r="D49" s="37">
        <v>0</v>
      </c>
      <c r="E49" s="37">
        <v>0</v>
      </c>
      <c r="F49" s="37">
        <v>173866.3</v>
      </c>
      <c r="G49" s="37">
        <v>0</v>
      </c>
      <c r="H49" s="37">
        <v>0</v>
      </c>
      <c r="I49" s="37">
        <v>0</v>
      </c>
      <c r="J49" s="37">
        <v>0</v>
      </c>
      <c r="M49" s="32"/>
    </row>
    <row r="50" spans="1:21" x14ac:dyDescent="0.2">
      <c r="A50" s="35" t="s">
        <v>79</v>
      </c>
      <c r="B50" s="36" t="s">
        <v>80</v>
      </c>
      <c r="C50" s="37">
        <v>0</v>
      </c>
      <c r="D50" s="37">
        <v>0</v>
      </c>
      <c r="E50" s="37">
        <v>0</v>
      </c>
      <c r="F50" s="37">
        <f>419141.09657+0.1</f>
        <v>419141.19656999997</v>
      </c>
      <c r="G50" s="37">
        <v>0</v>
      </c>
      <c r="H50" s="37">
        <v>0</v>
      </c>
      <c r="I50" s="37">
        <v>0</v>
      </c>
      <c r="J50" s="37">
        <v>0</v>
      </c>
    </row>
    <row r="51" spans="1:21" x14ac:dyDescent="0.2">
      <c r="A51" s="35" t="s">
        <v>81</v>
      </c>
      <c r="B51" s="36" t="s">
        <v>82</v>
      </c>
      <c r="C51" s="37">
        <v>0</v>
      </c>
      <c r="D51" s="37">
        <v>0</v>
      </c>
      <c r="E51" s="37">
        <v>0</v>
      </c>
      <c r="F51" s="37">
        <f>2192.47371+[1]SPPS!F37</f>
        <v>2250.7737100000004</v>
      </c>
      <c r="G51" s="37">
        <f>3020.50496+[1]SPPS!G37</f>
        <v>3473.5049600000002</v>
      </c>
      <c r="H51" s="37">
        <v>0</v>
      </c>
      <c r="I51" s="37">
        <v>0</v>
      </c>
      <c r="J51" s="37">
        <v>0</v>
      </c>
    </row>
    <row r="52" spans="1:21" x14ac:dyDescent="0.2">
      <c r="A52" s="35" t="s">
        <v>83</v>
      </c>
      <c r="B52" s="36" t="s">
        <v>84</v>
      </c>
      <c r="C52" s="37">
        <f>20751411.7+[1]SPPS!C38</f>
        <v>20940789.699999999</v>
      </c>
      <c r="D52" s="37">
        <f>26213453.37783+[1]SPPS!D38</f>
        <v>26398819.377829999</v>
      </c>
      <c r="E52" s="37">
        <f>24352599.03829+[1]SPPS!E38</f>
        <v>24522951.138290003</v>
      </c>
      <c r="F52" s="37">
        <f>24352812.66233+[1]SPPS!F38-213.7</f>
        <v>24522951.102330003</v>
      </c>
      <c r="G52" s="37">
        <v>0</v>
      </c>
      <c r="H52" s="37">
        <v>0</v>
      </c>
      <c r="I52" s="37">
        <v>0</v>
      </c>
      <c r="J52" s="37">
        <v>0</v>
      </c>
    </row>
    <row r="53" spans="1:21" x14ac:dyDescent="0.2">
      <c r="A53" s="35" t="s">
        <v>85</v>
      </c>
      <c r="B53" s="36" t="s">
        <v>86</v>
      </c>
      <c r="C53" s="37">
        <v>0</v>
      </c>
      <c r="D53" s="37">
        <v>0</v>
      </c>
      <c r="E53" s="37">
        <v>0</v>
      </c>
      <c r="F53" s="37">
        <f>2187873.59472+[1]SPPS!F39</f>
        <v>2188022.69472</v>
      </c>
      <c r="G53" s="37">
        <v>208652.97824</v>
      </c>
      <c r="H53" s="37">
        <v>0</v>
      </c>
      <c r="I53" s="37">
        <v>0</v>
      </c>
      <c r="J53" s="37">
        <v>0</v>
      </c>
    </row>
    <row r="54" spans="1:21" s="20" customFormat="1" x14ac:dyDescent="0.2">
      <c r="A54" s="29" t="s">
        <v>87</v>
      </c>
      <c r="B54" s="30">
        <v>19</v>
      </c>
      <c r="C54" s="31">
        <f>C55</f>
        <v>16982.8</v>
      </c>
      <c r="D54" s="31">
        <f t="shared" ref="D54:J54" si="3">D55</f>
        <v>16412.400000000001</v>
      </c>
      <c r="E54" s="31">
        <f t="shared" si="3"/>
        <v>6414.24197</v>
      </c>
      <c r="F54" s="31">
        <f t="shared" si="3"/>
        <v>6414.24197</v>
      </c>
      <c r="G54" s="31">
        <f t="shared" si="3"/>
        <v>0</v>
      </c>
      <c r="H54" s="31">
        <f t="shared" si="3"/>
        <v>0</v>
      </c>
      <c r="I54" s="31">
        <f t="shared" si="3"/>
        <v>0</v>
      </c>
      <c r="J54" s="31">
        <f t="shared" si="3"/>
        <v>0</v>
      </c>
    </row>
    <row r="55" spans="1:21" x14ac:dyDescent="0.2">
      <c r="A55" s="35" t="s">
        <v>88</v>
      </c>
      <c r="B55" s="36" t="s">
        <v>89</v>
      </c>
      <c r="C55" s="37">
        <v>16982.8</v>
      </c>
      <c r="D55" s="37">
        <v>16412.400000000001</v>
      </c>
      <c r="E55" s="37">
        <v>6414.24197</v>
      </c>
      <c r="F55" s="37">
        <v>6414.24197</v>
      </c>
      <c r="G55" s="37">
        <v>0</v>
      </c>
      <c r="H55" s="37">
        <v>0</v>
      </c>
      <c r="I55" s="37">
        <v>0</v>
      </c>
      <c r="J55" s="37">
        <v>0</v>
      </c>
    </row>
    <row r="56" spans="1:21" ht="38.25" x14ac:dyDescent="0.2">
      <c r="A56" s="35" t="s">
        <v>90</v>
      </c>
      <c r="B56" s="36" t="s">
        <v>91</v>
      </c>
      <c r="C56" s="37">
        <v>6000</v>
      </c>
      <c r="D56" s="37">
        <v>9929.6</v>
      </c>
      <c r="E56" s="37">
        <v>5032.8999999999996</v>
      </c>
      <c r="F56" s="37">
        <v>5032.8999999999996</v>
      </c>
      <c r="G56" s="37">
        <v>0</v>
      </c>
      <c r="H56" s="37">
        <v>0</v>
      </c>
      <c r="I56" s="37">
        <v>0</v>
      </c>
      <c r="J56" s="37">
        <v>0</v>
      </c>
    </row>
    <row r="57" spans="1:21" ht="38.25" x14ac:dyDescent="0.2">
      <c r="A57" s="35" t="s">
        <v>92</v>
      </c>
      <c r="B57" s="36" t="s">
        <v>93</v>
      </c>
      <c r="C57" s="37">
        <v>10982.8</v>
      </c>
      <c r="D57" s="37">
        <v>6482.8</v>
      </c>
      <c r="E57" s="37">
        <v>1381.3419699999999</v>
      </c>
      <c r="F57" s="37">
        <v>1381.3419699999999</v>
      </c>
      <c r="G57" s="37">
        <v>0</v>
      </c>
      <c r="H57" s="37">
        <v>0</v>
      </c>
      <c r="I57" s="37">
        <v>0</v>
      </c>
      <c r="J57" s="37">
        <v>0</v>
      </c>
    </row>
    <row r="58" spans="1:21" s="20" customFormat="1" x14ac:dyDescent="0.2">
      <c r="A58" s="29" t="s">
        <v>94</v>
      </c>
      <c r="B58" s="30" t="s">
        <v>95</v>
      </c>
      <c r="C58" s="31">
        <f t="shared" ref="C58:J58" si="4">C59+C188</f>
        <v>27235487.399999999</v>
      </c>
      <c r="D58" s="31">
        <f t="shared" si="4"/>
        <v>32368026.527830001</v>
      </c>
      <c r="E58" s="31">
        <f t="shared" si="4"/>
        <v>28447760.340350002</v>
      </c>
      <c r="F58" s="31">
        <f t="shared" si="4"/>
        <v>31159152.999089997</v>
      </c>
      <c r="G58" s="31">
        <f t="shared" si="4"/>
        <v>1237039.6060799998</v>
      </c>
      <c r="H58" s="31">
        <f t="shared" si="4"/>
        <v>14677.49093</v>
      </c>
      <c r="I58" s="31">
        <f t="shared" si="4"/>
        <v>1074870.90848</v>
      </c>
      <c r="J58" s="31">
        <f t="shared" si="4"/>
        <v>436.37827999999996</v>
      </c>
    </row>
    <row r="59" spans="1:21" x14ac:dyDescent="0.2">
      <c r="A59" s="29" t="s">
        <v>96</v>
      </c>
      <c r="B59" s="30">
        <v>2</v>
      </c>
      <c r="C59" s="31">
        <f>21476886.1+[1]SPPS!C40-1322.5</f>
        <v>21648049.300000001</v>
      </c>
      <c r="D59" s="31">
        <f>25713268.93792+[1]SPPS!D40-4404.7</f>
        <v>25883644.737920001</v>
      </c>
      <c r="E59" s="31">
        <f>23458151.26441+[1]SPPS!E40-3137.8</f>
        <v>23614142.51441</v>
      </c>
      <c r="F59" s="31">
        <f>F60+F77+F114+F125+F136+F142+F155+F183</f>
        <v>31159152.999089997</v>
      </c>
      <c r="G59" s="31">
        <f>621314.34505+[1]SPPS!G40</f>
        <v>621436.94504999998</v>
      </c>
      <c r="H59" s="31">
        <v>5577.1885000000002</v>
      </c>
      <c r="I59" s="31">
        <f>650830.13303+[1]SPPS!H40</f>
        <v>661593.73303</v>
      </c>
      <c r="J59" s="31">
        <v>435.55887999999999</v>
      </c>
      <c r="M59" s="32"/>
      <c r="N59" s="32"/>
      <c r="O59" s="32"/>
      <c r="P59" s="32"/>
      <c r="Q59" s="32"/>
      <c r="R59" s="32"/>
      <c r="S59" s="32"/>
      <c r="T59" s="32"/>
      <c r="U59" s="32"/>
    </row>
    <row r="60" spans="1:21" x14ac:dyDescent="0.2">
      <c r="A60" s="29" t="s">
        <v>97</v>
      </c>
      <c r="B60" s="30">
        <v>21</v>
      </c>
      <c r="C60" s="31">
        <f t="shared" ref="C60:J60" si="5">C61+C74</f>
        <v>8535326.4000000004</v>
      </c>
      <c r="D60" s="31">
        <f t="shared" si="5"/>
        <v>9261366.0252999999</v>
      </c>
      <c r="E60" s="31">
        <f t="shared" si="5"/>
        <v>9023268.5425499994</v>
      </c>
      <c r="F60" s="31">
        <f t="shared" si="5"/>
        <v>8879095.6897100005</v>
      </c>
      <c r="G60" s="31">
        <f t="shared" si="5"/>
        <v>12259.59816</v>
      </c>
      <c r="H60" s="31">
        <f t="shared" si="5"/>
        <v>11.748329999999999</v>
      </c>
      <c r="I60" s="31">
        <f t="shared" si="5"/>
        <v>591979.37068000005</v>
      </c>
      <c r="J60" s="31">
        <f t="shared" si="5"/>
        <v>0</v>
      </c>
      <c r="M60" s="32"/>
      <c r="N60" s="32"/>
      <c r="O60" s="32"/>
      <c r="P60" s="32"/>
      <c r="Q60" s="32"/>
      <c r="R60" s="32"/>
      <c r="S60" s="32"/>
      <c r="T60" s="32"/>
    </row>
    <row r="61" spans="1:21" x14ac:dyDescent="0.2">
      <c r="A61" s="35" t="s">
        <v>98</v>
      </c>
      <c r="B61" s="36" t="s">
        <v>99</v>
      </c>
      <c r="C61" s="37">
        <f>6638459.3+[1]SPPS!C41</f>
        <v>6757192.7000000002</v>
      </c>
      <c r="D61" s="37">
        <f>7082400.03852+[1]SPPS!D41</f>
        <v>7201696.4385200003</v>
      </c>
      <c r="E61" s="37">
        <f>6903806.00949+[1]SPPS!E41</f>
        <v>7011365.2794899996</v>
      </c>
      <c r="F61" s="37">
        <f>6803359.92033+[1]SPPS!F41</f>
        <v>6910509.9203300001</v>
      </c>
      <c r="G61" s="37">
        <f>8107.09472+[1]SPPS!G41</f>
        <v>8107.7947199999999</v>
      </c>
      <c r="H61" s="37">
        <v>10.537049999999999</v>
      </c>
      <c r="I61" s="37">
        <f>466576.16511+[1]SPPS!H41</f>
        <v>474216.66511</v>
      </c>
      <c r="J61" s="37">
        <v>0</v>
      </c>
    </row>
    <row r="62" spans="1:21" x14ac:dyDescent="0.2">
      <c r="A62" s="35" t="s">
        <v>100</v>
      </c>
      <c r="B62" s="36" t="s">
        <v>101</v>
      </c>
      <c r="C62" s="37">
        <f>47678.1+[1]SPPS!C43</f>
        <v>47678.1</v>
      </c>
      <c r="D62" s="37">
        <v>166.7</v>
      </c>
      <c r="E62" s="37">
        <v>0</v>
      </c>
      <c r="F62" s="37">
        <f>4231855.17617+[1]SPPS!F43</f>
        <v>4285758.9761699997</v>
      </c>
      <c r="G62" s="37">
        <v>0</v>
      </c>
      <c r="H62" s="37">
        <v>0</v>
      </c>
      <c r="I62" s="37">
        <v>1261.4284599999999</v>
      </c>
      <c r="J62" s="37">
        <v>0</v>
      </c>
    </row>
    <row r="63" spans="1:21" x14ac:dyDescent="0.2">
      <c r="A63" s="35" t="s">
        <v>102</v>
      </c>
      <c r="B63" s="36" t="s">
        <v>103</v>
      </c>
      <c r="C63" s="37">
        <v>972</v>
      </c>
      <c r="D63" s="37">
        <v>354.62700000000001</v>
      </c>
      <c r="E63" s="37">
        <v>354.62700000000001</v>
      </c>
      <c r="F63" s="37">
        <f>1937725.37062+[1]SPPS!F44</f>
        <v>1981267.3706199999</v>
      </c>
      <c r="G63" s="37">
        <v>0</v>
      </c>
      <c r="H63" s="37">
        <v>0</v>
      </c>
      <c r="I63" s="37">
        <v>30.841999999999999</v>
      </c>
      <c r="J63" s="37">
        <v>0</v>
      </c>
    </row>
    <row r="64" spans="1:21" x14ac:dyDescent="0.2">
      <c r="A64" s="35" t="s">
        <v>104</v>
      </c>
      <c r="B64" s="36" t="s">
        <v>105</v>
      </c>
      <c r="C64" s="37">
        <v>0</v>
      </c>
      <c r="D64" s="37">
        <v>0</v>
      </c>
      <c r="E64" s="37">
        <v>0</v>
      </c>
      <c r="F64" s="37">
        <v>5187.72156</v>
      </c>
      <c r="G64" s="37">
        <v>0</v>
      </c>
      <c r="H64" s="37">
        <v>0</v>
      </c>
      <c r="I64" s="37">
        <v>0</v>
      </c>
      <c r="J64" s="37">
        <v>0</v>
      </c>
      <c r="P64" s="32"/>
    </row>
    <row r="65" spans="1:18" x14ac:dyDescent="0.2">
      <c r="A65" s="35" t="s">
        <v>106</v>
      </c>
      <c r="B65" s="36" t="s">
        <v>107</v>
      </c>
      <c r="C65" s="37">
        <v>824.7</v>
      </c>
      <c r="D65" s="37">
        <v>0</v>
      </c>
      <c r="E65" s="37">
        <v>0</v>
      </c>
      <c r="F65" s="37">
        <f>514217.35012+[1]SPPS!F45</f>
        <v>522403.45011999999</v>
      </c>
      <c r="G65" s="37">
        <v>0</v>
      </c>
      <c r="H65" s="37">
        <v>0</v>
      </c>
      <c r="I65" s="37">
        <v>0</v>
      </c>
      <c r="J65" s="37">
        <v>0</v>
      </c>
    </row>
    <row r="66" spans="1:18" x14ac:dyDescent="0.2">
      <c r="A66" s="35" t="s">
        <v>108</v>
      </c>
      <c r="B66" s="36" t="s">
        <v>109</v>
      </c>
      <c r="C66" s="37">
        <f>6475964.6+[1]SPPS!C42</f>
        <v>6593098</v>
      </c>
      <c r="D66" s="37">
        <f>6968689.18403+[1]SPPS!D42</f>
        <v>7085830.5840300005</v>
      </c>
      <c r="E66" s="37">
        <f>6795948.57563+[1]SPPS!E42</f>
        <v>6901989.7956299996</v>
      </c>
      <c r="F66" s="37">
        <v>0</v>
      </c>
      <c r="G66" s="37">
        <v>7806.9320800000005</v>
      </c>
      <c r="H66" s="37">
        <v>10.537049999999999</v>
      </c>
      <c r="I66" s="37">
        <f>458997.0149+[1]SPPS!H42</f>
        <v>466637.51490000001</v>
      </c>
      <c r="J66" s="37">
        <v>0</v>
      </c>
    </row>
    <row r="67" spans="1:18" x14ac:dyDescent="0.2">
      <c r="A67" s="35" t="s">
        <v>110</v>
      </c>
      <c r="B67" s="36" t="s">
        <v>111</v>
      </c>
      <c r="C67" s="37">
        <v>0</v>
      </c>
      <c r="D67" s="37">
        <v>0</v>
      </c>
      <c r="E67" s="37">
        <v>0</v>
      </c>
      <c r="F67" s="37">
        <v>7414.4189400000005</v>
      </c>
      <c r="G67" s="37">
        <v>0</v>
      </c>
      <c r="H67" s="37">
        <v>0</v>
      </c>
      <c r="I67" s="37">
        <v>0</v>
      </c>
      <c r="J67" s="37">
        <v>0</v>
      </c>
    </row>
    <row r="68" spans="1:18" x14ac:dyDescent="0.2">
      <c r="A68" s="35" t="s">
        <v>112</v>
      </c>
      <c r="B68" s="36" t="s">
        <v>113</v>
      </c>
      <c r="C68" s="37">
        <f>7788.2+[1]SPPS!C46</f>
        <v>8288.2000000000007</v>
      </c>
      <c r="D68" s="37">
        <f>12157.982+[1]SPPS!D46</f>
        <v>13212.982</v>
      </c>
      <c r="E68" s="37">
        <f>8435.69752+[1]SPPS!E46</f>
        <v>9103.5775199999989</v>
      </c>
      <c r="F68" s="37">
        <f>7444.38581+[1]SPPS!F46</f>
        <v>8112.2858099999994</v>
      </c>
      <c r="G68" s="37">
        <v>0</v>
      </c>
      <c r="H68" s="37">
        <v>0</v>
      </c>
      <c r="I68" s="37">
        <v>319.76191</v>
      </c>
      <c r="J68" s="37">
        <v>0</v>
      </c>
      <c r="P68" s="40"/>
      <c r="Q68" s="40"/>
      <c r="R68" s="40"/>
    </row>
    <row r="69" spans="1:18" x14ac:dyDescent="0.2">
      <c r="A69" s="35" t="s">
        <v>114</v>
      </c>
      <c r="B69" s="36" t="s">
        <v>115</v>
      </c>
      <c r="C69" s="37">
        <v>18.600000000000001</v>
      </c>
      <c r="D69" s="37">
        <v>0</v>
      </c>
      <c r="E69" s="37">
        <v>0</v>
      </c>
      <c r="F69" s="37">
        <v>0</v>
      </c>
      <c r="G69" s="37">
        <v>0</v>
      </c>
      <c r="H69" s="37">
        <v>0</v>
      </c>
      <c r="I69" s="37">
        <v>0</v>
      </c>
      <c r="J69" s="37">
        <v>0</v>
      </c>
    </row>
    <row r="70" spans="1:18" x14ac:dyDescent="0.2">
      <c r="A70" s="35" t="s">
        <v>116</v>
      </c>
      <c r="B70" s="36" t="s">
        <v>117</v>
      </c>
      <c r="C70" s="37">
        <v>6644.1</v>
      </c>
      <c r="D70" s="37">
        <v>6674.2</v>
      </c>
      <c r="E70" s="37">
        <v>6210.5040999999992</v>
      </c>
      <c r="F70" s="37">
        <v>6181.52387</v>
      </c>
      <c r="G70" s="37">
        <v>0</v>
      </c>
      <c r="H70" s="37">
        <v>0</v>
      </c>
      <c r="I70" s="37">
        <v>561.95455000000004</v>
      </c>
      <c r="J70" s="37">
        <v>0</v>
      </c>
    </row>
    <row r="71" spans="1:18" ht="25.5" x14ac:dyDescent="0.2">
      <c r="A71" s="35" t="s">
        <v>118</v>
      </c>
      <c r="B71" s="36" t="s">
        <v>119</v>
      </c>
      <c r="C71" s="37">
        <f>77138.1+[1]SPPS!C47</f>
        <v>78238.100000000006</v>
      </c>
      <c r="D71" s="37">
        <f>70444.99674+[1]SPPS!D47</f>
        <v>71544.996740000002</v>
      </c>
      <c r="E71" s="37">
        <f>69186.98061+[1]SPPS!E47</f>
        <v>70037.140610000002</v>
      </c>
      <c r="F71" s="37">
        <f>69534.77453+[1]SPPS!F47</f>
        <v>70384.974529999992</v>
      </c>
      <c r="G71" s="37">
        <v>58.382910000000003</v>
      </c>
      <c r="H71" s="37">
        <v>0</v>
      </c>
      <c r="I71" s="37">
        <v>5405.1632900000004</v>
      </c>
      <c r="J71" s="37">
        <v>0</v>
      </c>
      <c r="N71" s="32"/>
    </row>
    <row r="72" spans="1:18" x14ac:dyDescent="0.2">
      <c r="A72" s="35" t="s">
        <v>120</v>
      </c>
      <c r="B72" s="36" t="s">
        <v>121</v>
      </c>
      <c r="C72" s="37">
        <v>1071.9000000000001</v>
      </c>
      <c r="D72" s="37">
        <v>1182.5</v>
      </c>
      <c r="E72" s="37">
        <v>958.11588000000006</v>
      </c>
      <c r="F72" s="37">
        <v>953.57992000000002</v>
      </c>
      <c r="G72" s="37">
        <v>4.5359600000000002</v>
      </c>
      <c r="H72" s="37">
        <v>0</v>
      </c>
      <c r="I72" s="37">
        <v>0</v>
      </c>
      <c r="J72" s="37">
        <v>0</v>
      </c>
    </row>
    <row r="73" spans="1:18" x14ac:dyDescent="0.2">
      <c r="A73" s="35" t="s">
        <v>122</v>
      </c>
      <c r="B73" s="36" t="s">
        <v>123</v>
      </c>
      <c r="C73" s="37">
        <v>20359</v>
      </c>
      <c r="D73" s="37">
        <v>22729.848750000001</v>
      </c>
      <c r="E73" s="37">
        <v>22711.508750000001</v>
      </c>
      <c r="F73" s="37">
        <v>22845.61879</v>
      </c>
      <c r="G73" s="37">
        <v>237.24376999999998</v>
      </c>
      <c r="H73" s="37">
        <v>0</v>
      </c>
      <c r="I73" s="37">
        <v>0</v>
      </c>
      <c r="J73" s="37">
        <v>0</v>
      </c>
    </row>
    <row r="74" spans="1:18" x14ac:dyDescent="0.2">
      <c r="A74" s="35" t="s">
        <v>124</v>
      </c>
      <c r="B74" s="36" t="s">
        <v>125</v>
      </c>
      <c r="C74" s="37">
        <f>1744181.5+[1]SPPS!C48</f>
        <v>1778133.7</v>
      </c>
      <c r="D74" s="37">
        <f>2025369.38678+[1]SPPS!D48</f>
        <v>2059669.58678</v>
      </c>
      <c r="E74" s="37">
        <f>1981462.04306+[1]SPPS!E48</f>
        <v>2011903.26306</v>
      </c>
      <c r="F74" s="37">
        <f>1937758.86938+[1]SPPS!F48</f>
        <v>1968585.76938</v>
      </c>
      <c r="G74" s="37">
        <v>4151.8034399999997</v>
      </c>
      <c r="H74" s="37">
        <v>1.2112799999999999</v>
      </c>
      <c r="I74" s="37">
        <f>115550.40557+[1]SPPS!H48</f>
        <v>117762.70557000001</v>
      </c>
      <c r="J74" s="37">
        <v>0</v>
      </c>
    </row>
    <row r="75" spans="1:18" x14ac:dyDescent="0.2">
      <c r="A75" s="35" t="s">
        <v>126</v>
      </c>
      <c r="B75" s="36" t="s">
        <v>127</v>
      </c>
      <c r="C75" s="37">
        <f>1744181.5+[1]SPPS!C49</f>
        <v>1778133.7</v>
      </c>
      <c r="D75" s="37">
        <f>2025369.38678+[1]SPPS!D49</f>
        <v>2059669.58678</v>
      </c>
      <c r="E75" s="37">
        <f>1981462.04306+[1]SPPS!E49</f>
        <v>2011903.26306</v>
      </c>
      <c r="F75" s="37">
        <f>1937758.86938+[1]SPPS!F49</f>
        <v>1968585.76938</v>
      </c>
      <c r="G75" s="37">
        <f>4129.45993</f>
        <v>4129.45993</v>
      </c>
      <c r="H75" s="37">
        <v>0</v>
      </c>
      <c r="I75" s="37">
        <f>115492.35941+[1]SPPS!H48</f>
        <v>117704.65941000001</v>
      </c>
      <c r="J75" s="37">
        <v>0</v>
      </c>
    </row>
    <row r="76" spans="1:18" ht="14.25" customHeight="1" x14ac:dyDescent="0.2">
      <c r="A76" s="35" t="s">
        <v>128</v>
      </c>
      <c r="B76" s="36" t="s">
        <v>129</v>
      </c>
      <c r="C76" s="37">
        <v>0</v>
      </c>
      <c r="D76" s="37">
        <v>0</v>
      </c>
      <c r="E76" s="37">
        <v>0</v>
      </c>
      <c r="F76" s="37">
        <v>0</v>
      </c>
      <c r="G76" s="37">
        <v>22.343509999999998</v>
      </c>
      <c r="H76" s="37">
        <v>1.2112799999999999</v>
      </c>
      <c r="I76" s="37">
        <v>58.04616</v>
      </c>
      <c r="J76" s="37">
        <v>0</v>
      </c>
    </row>
    <row r="77" spans="1:18" ht="14.25" customHeight="1" x14ac:dyDescent="0.2">
      <c r="A77" s="29" t="s">
        <v>130</v>
      </c>
      <c r="B77" s="30">
        <v>22</v>
      </c>
      <c r="C77" s="31">
        <f>C78+C88</f>
        <v>3028719.3000000003</v>
      </c>
      <c r="D77" s="31">
        <f t="shared" ref="D77:J77" si="6">D78+D88</f>
        <v>2556724.1390200001</v>
      </c>
      <c r="E77" s="31">
        <f t="shared" si="6"/>
        <v>2109242.7781699998</v>
      </c>
      <c r="F77" s="31">
        <f t="shared" si="6"/>
        <v>2971350.5019699996</v>
      </c>
      <c r="G77" s="31">
        <f t="shared" si="6"/>
        <v>80471.739409999995</v>
      </c>
      <c r="H77" s="31">
        <f t="shared" si="6"/>
        <v>30.130669999999999</v>
      </c>
      <c r="I77" s="31">
        <f t="shared" si="6"/>
        <v>45843.222929999996</v>
      </c>
      <c r="J77" s="31">
        <f t="shared" si="6"/>
        <v>44.375059999999998</v>
      </c>
    </row>
    <row r="78" spans="1:18" x14ac:dyDescent="0.2">
      <c r="A78" s="35" t="s">
        <v>131</v>
      </c>
      <c r="B78" s="36" t="s">
        <v>132</v>
      </c>
      <c r="C78" s="37">
        <v>0</v>
      </c>
      <c r="D78" s="37">
        <v>0</v>
      </c>
      <c r="E78" s="37">
        <v>0</v>
      </c>
      <c r="F78" s="37">
        <f>868905.33034+7340.6</f>
        <v>876245.93033999996</v>
      </c>
      <c r="G78" s="37">
        <v>0</v>
      </c>
      <c r="H78" s="37">
        <v>0</v>
      </c>
      <c r="I78" s="37">
        <v>0</v>
      </c>
      <c r="J78" s="37">
        <v>0</v>
      </c>
    </row>
    <row r="79" spans="1:18" ht="25.5" x14ac:dyDescent="0.2">
      <c r="A79" s="35" t="s">
        <v>133</v>
      </c>
      <c r="B79" s="36" t="s">
        <v>134</v>
      </c>
      <c r="C79" s="37">
        <v>0</v>
      </c>
      <c r="D79" s="37">
        <v>0</v>
      </c>
      <c r="E79" s="37">
        <v>0</v>
      </c>
      <c r="F79" s="37">
        <f>206209.78942+3043.9</f>
        <v>209253.68941999998</v>
      </c>
      <c r="G79" s="37">
        <v>0</v>
      </c>
      <c r="H79" s="37">
        <v>0</v>
      </c>
      <c r="I79" s="37">
        <v>0</v>
      </c>
      <c r="J79" s="37">
        <v>0</v>
      </c>
    </row>
    <row r="80" spans="1:18" ht="18.75" customHeight="1" x14ac:dyDescent="0.2">
      <c r="A80" s="35" t="s">
        <v>135</v>
      </c>
      <c r="B80" s="36" t="s">
        <v>136</v>
      </c>
      <c r="C80" s="37">
        <v>0</v>
      </c>
      <c r="D80" s="37">
        <v>0</v>
      </c>
      <c r="E80" s="37">
        <v>0</v>
      </c>
      <c r="F80" s="37">
        <f>32914.62816+607.5</f>
        <v>33522.12816</v>
      </c>
      <c r="G80" s="37">
        <v>0</v>
      </c>
      <c r="H80" s="37">
        <v>0</v>
      </c>
      <c r="I80" s="37">
        <v>0</v>
      </c>
      <c r="J80" s="37">
        <v>0</v>
      </c>
    </row>
    <row r="81" spans="1:10" ht="18.75" customHeight="1" x14ac:dyDescent="0.2">
      <c r="A81" s="35" t="s">
        <v>137</v>
      </c>
      <c r="B81" s="36" t="s">
        <v>138</v>
      </c>
      <c r="C81" s="37">
        <v>0</v>
      </c>
      <c r="D81" s="37">
        <v>0</v>
      </c>
      <c r="E81" s="37">
        <v>0</v>
      </c>
      <c r="F81" s="37">
        <f>171143.36609+6.2</f>
        <v>171149.56609000001</v>
      </c>
      <c r="G81" s="37">
        <v>0</v>
      </c>
      <c r="H81" s="37">
        <v>0</v>
      </c>
      <c r="I81" s="37">
        <v>0</v>
      </c>
      <c r="J81" s="37">
        <v>0</v>
      </c>
    </row>
    <row r="82" spans="1:10" ht="25.5" x14ac:dyDescent="0.2">
      <c r="A82" s="35" t="s">
        <v>139</v>
      </c>
      <c r="B82" s="36" t="s">
        <v>140</v>
      </c>
      <c r="C82" s="37">
        <v>0</v>
      </c>
      <c r="D82" s="37">
        <v>0</v>
      </c>
      <c r="E82" s="37">
        <v>0</v>
      </c>
      <c r="F82" s="37">
        <f>171487.89106+105.8</f>
        <v>171593.69105999998</v>
      </c>
      <c r="G82" s="37">
        <v>0</v>
      </c>
      <c r="H82" s="37">
        <v>0</v>
      </c>
      <c r="I82" s="37">
        <v>0</v>
      </c>
      <c r="J82" s="37">
        <v>0</v>
      </c>
    </row>
    <row r="83" spans="1:10" ht="25.5" x14ac:dyDescent="0.2">
      <c r="A83" s="35" t="s">
        <v>141</v>
      </c>
      <c r="B83" s="36" t="s">
        <v>142</v>
      </c>
      <c r="C83" s="37">
        <v>0</v>
      </c>
      <c r="D83" s="37">
        <v>0</v>
      </c>
      <c r="E83" s="37">
        <v>0</v>
      </c>
      <c r="F83" s="37">
        <f>7981.8565</f>
        <v>7981.8564999999999</v>
      </c>
      <c r="G83" s="37">
        <v>0</v>
      </c>
      <c r="H83" s="37">
        <v>0</v>
      </c>
      <c r="I83" s="37">
        <v>0</v>
      </c>
      <c r="J83" s="37">
        <v>0</v>
      </c>
    </row>
    <row r="84" spans="1:10" ht="25.5" x14ac:dyDescent="0.2">
      <c r="A84" s="35" t="s">
        <v>143</v>
      </c>
      <c r="B84" s="36" t="s">
        <v>144</v>
      </c>
      <c r="C84" s="37">
        <v>0</v>
      </c>
      <c r="D84" s="37">
        <v>0</v>
      </c>
      <c r="E84" s="37">
        <v>0</v>
      </c>
      <c r="F84" s="37">
        <f>76499.87344+296.6</f>
        <v>76796.473440000002</v>
      </c>
      <c r="G84" s="37">
        <v>0</v>
      </c>
      <c r="H84" s="37">
        <v>0</v>
      </c>
      <c r="I84" s="37">
        <v>0</v>
      </c>
      <c r="J84" s="37">
        <v>0</v>
      </c>
    </row>
    <row r="85" spans="1:10" x14ac:dyDescent="0.2">
      <c r="A85" s="35" t="s">
        <v>145</v>
      </c>
      <c r="B85" s="36" t="s">
        <v>146</v>
      </c>
      <c r="C85" s="37">
        <v>0</v>
      </c>
      <c r="D85" s="37">
        <v>0</v>
      </c>
      <c r="E85" s="37">
        <v>0</v>
      </c>
      <c r="F85" s="37">
        <f>35610.89573+37.6</f>
        <v>35648.495729999995</v>
      </c>
      <c r="G85" s="37">
        <v>0</v>
      </c>
      <c r="H85" s="37">
        <v>0</v>
      </c>
      <c r="I85" s="37">
        <v>0</v>
      </c>
      <c r="J85" s="37">
        <v>0</v>
      </c>
    </row>
    <row r="86" spans="1:10" ht="25.5" x14ac:dyDescent="0.2">
      <c r="A86" s="35" t="s">
        <v>147</v>
      </c>
      <c r="B86" s="36" t="s">
        <v>148</v>
      </c>
      <c r="C86" s="37">
        <v>0</v>
      </c>
      <c r="D86" s="37">
        <v>0</v>
      </c>
      <c r="E86" s="37">
        <v>0</v>
      </c>
      <c r="F86" s="37">
        <f>84998.03028+1897.4</f>
        <v>86895.43028</v>
      </c>
      <c r="G86" s="37">
        <v>0</v>
      </c>
      <c r="H86" s="37">
        <v>0</v>
      </c>
      <c r="I86" s="37">
        <v>0</v>
      </c>
      <c r="J86" s="37">
        <v>0</v>
      </c>
    </row>
    <row r="87" spans="1:10" ht="16.5" customHeight="1" x14ac:dyDescent="0.2">
      <c r="A87" s="35" t="s">
        <v>149</v>
      </c>
      <c r="B87" s="36" t="s">
        <v>150</v>
      </c>
      <c r="C87" s="37">
        <v>0</v>
      </c>
      <c r="D87" s="37">
        <v>0</v>
      </c>
      <c r="E87" s="37">
        <v>0</v>
      </c>
      <c r="F87" s="37">
        <f>82058.99966+1345.6</f>
        <v>83404.599660000007</v>
      </c>
      <c r="G87" s="37">
        <v>0</v>
      </c>
      <c r="H87" s="37">
        <v>0</v>
      </c>
      <c r="I87" s="37">
        <v>0</v>
      </c>
      <c r="J87" s="37">
        <v>0</v>
      </c>
    </row>
    <row r="88" spans="1:10" x14ac:dyDescent="0.2">
      <c r="A88" s="35" t="s">
        <v>151</v>
      </c>
      <c r="B88" s="36" t="s">
        <v>152</v>
      </c>
      <c r="C88" s="37">
        <f>3021623.6+[1]SPPS!C60</f>
        <v>3028719.3000000003</v>
      </c>
      <c r="D88" s="37">
        <f>2550272.53902+[1]SPPS!D60</f>
        <v>2556724.1390200001</v>
      </c>
      <c r="E88" s="37">
        <f>2102846.50817+[1]SPPS!E60</f>
        <v>2109242.7781699998</v>
      </c>
      <c r="F88" s="37">
        <f>2088706.37163+[1]SPPS!F60</f>
        <v>2095104.5716299999</v>
      </c>
      <c r="G88" s="37">
        <f>80349.83941+[1]SPPS!G60</f>
        <v>80471.739409999995</v>
      </c>
      <c r="H88" s="37">
        <v>30.130669999999999</v>
      </c>
      <c r="I88" s="37">
        <f>45755.52293+[1]SPPS!H60</f>
        <v>45843.222929999996</v>
      </c>
      <c r="J88" s="37">
        <v>44.375059999999998</v>
      </c>
    </row>
    <row r="89" spans="1:10" x14ac:dyDescent="0.2">
      <c r="A89" s="35" t="s">
        <v>153</v>
      </c>
      <c r="B89" s="36" t="s">
        <v>154</v>
      </c>
      <c r="C89" s="37">
        <f>158106.91+[1]SPPS!C61</f>
        <v>158326.91</v>
      </c>
      <c r="D89" s="37">
        <f>189107.58706+[1]SPPS!D61</f>
        <v>189305.78706</v>
      </c>
      <c r="E89" s="37">
        <f>176193.12435+[1]SPPS!E61</f>
        <v>176391.32435000001</v>
      </c>
      <c r="F89" s="37">
        <f>184188.28316+[1]SPPS!F61</f>
        <v>184351.38316</v>
      </c>
      <c r="G89" s="37">
        <f>5391.16391+[1]SPPS!G61</f>
        <v>5444.5639099999999</v>
      </c>
      <c r="H89" s="37">
        <v>0</v>
      </c>
      <c r="I89" s="37">
        <v>8458.4596400000009</v>
      </c>
      <c r="J89" s="37">
        <v>11.899569999999999</v>
      </c>
    </row>
    <row r="90" spans="1:10" x14ac:dyDescent="0.2">
      <c r="A90" s="35" t="s">
        <v>155</v>
      </c>
      <c r="B90" s="36" t="s">
        <v>156</v>
      </c>
      <c r="C90" s="37">
        <f>55057.996+[1]SPPS!C62</f>
        <v>55127.995999999999</v>
      </c>
      <c r="D90" s="37">
        <f>133802.59914+[1]SPPS!D62</f>
        <v>133894.10914000002</v>
      </c>
      <c r="E90" s="37">
        <f>120943.60973+[1]SPPS!E62</f>
        <v>121035.11972999999</v>
      </c>
      <c r="F90" s="37">
        <f>112103.60283+[1]SPPS!F62</f>
        <v>112186.60283</v>
      </c>
      <c r="G90" s="37">
        <f>9932.97603+[1]SPPS!G62</f>
        <v>9937.5760300000002</v>
      </c>
      <c r="H90" s="37">
        <v>0</v>
      </c>
      <c r="I90" s="37">
        <v>5751.4697500000002</v>
      </c>
      <c r="J90" s="37">
        <v>0</v>
      </c>
    </row>
    <row r="91" spans="1:10" x14ac:dyDescent="0.2">
      <c r="A91" s="35" t="s">
        <v>157</v>
      </c>
      <c r="B91" s="36" t="s">
        <v>158</v>
      </c>
      <c r="C91" s="37">
        <f>94135.124+[1]SPPS!C63</f>
        <v>94535.123999999996</v>
      </c>
      <c r="D91" s="37">
        <f>171230.66954+[1]SPPS!D63</f>
        <v>171495.66954</v>
      </c>
      <c r="E91" s="37">
        <f>153718.82525+[1]SPPS!E63</f>
        <v>153983.82524999999</v>
      </c>
      <c r="F91" s="37">
        <f>143738.74605+[1]SPPS!F63</f>
        <v>144074.84604999999</v>
      </c>
      <c r="G91" s="37">
        <v>7663.40679</v>
      </c>
      <c r="H91" s="37">
        <v>0</v>
      </c>
      <c r="I91" s="37">
        <f>10933.16763+[1]SPPS!H63</f>
        <v>10972.16763</v>
      </c>
      <c r="J91" s="37">
        <v>30.1874</v>
      </c>
    </row>
    <row r="92" spans="1:10" x14ac:dyDescent="0.2">
      <c r="A92" s="35" t="s">
        <v>159</v>
      </c>
      <c r="B92" s="36" t="s">
        <v>160</v>
      </c>
      <c r="C92" s="37">
        <f>48868.05+[1]SPPS!C64</f>
        <v>48988.05</v>
      </c>
      <c r="D92" s="37">
        <f>46052.70235+[1]SPPS!D64</f>
        <v>46203.752350000002</v>
      </c>
      <c r="E92" s="37">
        <f>40928.47834+[1]SPPS!E64</f>
        <v>41079.528340000004</v>
      </c>
      <c r="F92" s="37">
        <f>40219.9799099999+[1]SPPS!F64</f>
        <v>40340.079909999899</v>
      </c>
      <c r="G92" s="37">
        <f>2481.28309+[1]SPPS!G64</f>
        <v>2507.2830899999999</v>
      </c>
      <c r="H92" s="37">
        <v>0.2656</v>
      </c>
      <c r="I92" s="37">
        <v>621.80170999999996</v>
      </c>
      <c r="J92" s="37">
        <v>3.0000000000000001E-3</v>
      </c>
    </row>
    <row r="93" spans="1:10" x14ac:dyDescent="0.2">
      <c r="A93" s="35" t="s">
        <v>161</v>
      </c>
      <c r="B93" s="36" t="s">
        <v>162</v>
      </c>
      <c r="C93" s="37">
        <f>14799.02+[1]SPPS!C65</f>
        <v>14834.02</v>
      </c>
      <c r="D93" s="37">
        <f>10684.65703+[1]SPPS!D65</f>
        <v>10723.37703</v>
      </c>
      <c r="E93" s="37">
        <f>9856.67369+[1]SPPS!E65</f>
        <v>9895.393689999999</v>
      </c>
      <c r="F93" s="37">
        <f>10130.3544+[1]SPPS!F65</f>
        <v>10169.054400000001</v>
      </c>
      <c r="G93" s="37">
        <v>200.16723999999999</v>
      </c>
      <c r="H93" s="37">
        <v>0</v>
      </c>
      <c r="I93" s="37">
        <v>451.42939000000001</v>
      </c>
      <c r="J93" s="37">
        <v>0.73629999999999995</v>
      </c>
    </row>
    <row r="94" spans="1:10" x14ac:dyDescent="0.2">
      <c r="A94" s="35" t="s">
        <v>163</v>
      </c>
      <c r="B94" s="36" t="s">
        <v>164</v>
      </c>
      <c r="C94" s="37">
        <f>248107.73+[1]SPPS!C66</f>
        <v>248208.23</v>
      </c>
      <c r="D94" s="37">
        <f>176900.23977+[1]SPPS!D66</f>
        <v>177011.09976999997</v>
      </c>
      <c r="E94" s="37">
        <f>157429.71873+[1]SPPS!E66</f>
        <v>157540.13873000001</v>
      </c>
      <c r="F94" s="37">
        <f>156599.4332+[1]SPPS!F66</f>
        <v>156710.23319999999</v>
      </c>
      <c r="G94" s="37">
        <v>505.13423999999998</v>
      </c>
      <c r="H94" s="37">
        <v>0</v>
      </c>
      <c r="I94" s="37">
        <v>1324.4361399999998</v>
      </c>
      <c r="J94" s="37">
        <v>1.49</v>
      </c>
    </row>
    <row r="95" spans="1:10" x14ac:dyDescent="0.2">
      <c r="A95" s="35" t="s">
        <v>165</v>
      </c>
      <c r="B95" s="36" t="s">
        <v>166</v>
      </c>
      <c r="C95" s="37">
        <f>26090.27+[1]SPPS!C67</f>
        <v>26187.77</v>
      </c>
      <c r="D95" s="37">
        <f>22253.86514+[1]SPPS!D67</f>
        <v>22312.295140000002</v>
      </c>
      <c r="E95" s="37">
        <f>18090.9243+[1]SPPS!E67</f>
        <v>18144.504300000001</v>
      </c>
      <c r="F95" s="37">
        <f>17693.35337+[1]SPPS!F67</f>
        <v>17747.15337</v>
      </c>
      <c r="G95" s="37">
        <f>676.23784+[1]SPPS!G67</f>
        <v>676.63783999999998</v>
      </c>
      <c r="H95" s="37">
        <v>0.47441</v>
      </c>
      <c r="I95" s="37">
        <v>511.81152000000003</v>
      </c>
      <c r="J95" s="37">
        <v>0</v>
      </c>
    </row>
    <row r="96" spans="1:10" x14ac:dyDescent="0.2">
      <c r="A96" s="35" t="s">
        <v>167</v>
      </c>
      <c r="B96" s="36" t="s">
        <v>168</v>
      </c>
      <c r="C96" s="37">
        <f>192352.6+[1]SPPS!C68</f>
        <v>193053.4</v>
      </c>
      <c r="D96" s="37">
        <f>234797.71349+[1]SPPS!D68</f>
        <v>235507.07348999998</v>
      </c>
      <c r="E96" s="37">
        <f>213550.75497+[1]SPPS!E68</f>
        <v>214260.11497</v>
      </c>
      <c r="F96" s="37">
        <f>215073.5185+[1]SPPS!F68</f>
        <v>215781.9185</v>
      </c>
      <c r="G96" s="37">
        <f>1970.91978+[1]SPPS!G68</f>
        <v>1973.61978</v>
      </c>
      <c r="H96" s="37">
        <v>3.1</v>
      </c>
      <c r="I96" s="37">
        <f>5979.50937+[1]SPPS!H68</f>
        <v>5982.6093700000001</v>
      </c>
      <c r="J96" s="37">
        <v>0</v>
      </c>
    </row>
    <row r="97" spans="1:10" x14ac:dyDescent="0.2">
      <c r="A97" s="35" t="s">
        <v>169</v>
      </c>
      <c r="B97" s="36" t="s">
        <v>170</v>
      </c>
      <c r="C97" s="37">
        <f>38866.7+[1]SPPS!C69</f>
        <v>39666.699999999997</v>
      </c>
      <c r="D97" s="37">
        <f>41345.36577+[1]SPPS!D69</f>
        <v>41907.925769999994</v>
      </c>
      <c r="E97" s="37">
        <f>35141.89912+[1]SPPS!E69</f>
        <v>35704.45912</v>
      </c>
      <c r="F97" s="37">
        <f>35100.94002+[1]SPPS!F69</f>
        <v>35663.54002</v>
      </c>
      <c r="G97" s="37">
        <v>170.17073000000002</v>
      </c>
      <c r="H97" s="37">
        <v>0.5</v>
      </c>
      <c r="I97" s="37">
        <v>277.96758</v>
      </c>
      <c r="J97" s="37">
        <v>0</v>
      </c>
    </row>
    <row r="98" spans="1:10" x14ac:dyDescent="0.2">
      <c r="A98" s="35" t="s">
        <v>171</v>
      </c>
      <c r="B98" s="36" t="s">
        <v>172</v>
      </c>
      <c r="C98" s="37">
        <f>150322.6+[1]SPPS!C70</f>
        <v>151525.30000000002</v>
      </c>
      <c r="D98" s="37">
        <f>172897.42602+[1]SPPS!D70</f>
        <v>173804.30602000002</v>
      </c>
      <c r="E98" s="37">
        <f>159299.53189+[1]SPPS!E70</f>
        <v>160206.41189000002</v>
      </c>
      <c r="F98" s="37">
        <f>159714.92335+[1]SPPS!F70</f>
        <v>160621.82334999999</v>
      </c>
      <c r="G98" s="37">
        <v>1069.5973200000001</v>
      </c>
      <c r="H98" s="37">
        <v>0</v>
      </c>
      <c r="I98" s="37">
        <v>749.21384999999998</v>
      </c>
      <c r="J98" s="37">
        <v>0</v>
      </c>
    </row>
    <row r="99" spans="1:10" x14ac:dyDescent="0.2">
      <c r="A99" s="35" t="s">
        <v>173</v>
      </c>
      <c r="B99" s="36" t="s">
        <v>174</v>
      </c>
      <c r="C99" s="37">
        <f>47036.4+60</f>
        <v>47096.4</v>
      </c>
      <c r="D99" s="37">
        <f>29319.20484+25</f>
        <v>29344.204839999999</v>
      </c>
      <c r="E99" s="37">
        <f>20044.78024+25.1</f>
        <v>20069.880239999999</v>
      </c>
      <c r="F99" s="37">
        <f>21079.4708+25.1</f>
        <v>21104.570799999998</v>
      </c>
      <c r="G99" s="37">
        <v>772.19962999999996</v>
      </c>
      <c r="H99" s="37">
        <v>3.8</v>
      </c>
      <c r="I99" s="37">
        <v>1289.02522</v>
      </c>
      <c r="J99" s="37">
        <v>0</v>
      </c>
    </row>
    <row r="100" spans="1:10" x14ac:dyDescent="0.2">
      <c r="A100" s="35" t="s">
        <v>175</v>
      </c>
      <c r="B100" s="36" t="s">
        <v>176</v>
      </c>
      <c r="C100" s="37">
        <f>25683.25+50</f>
        <v>25733.25</v>
      </c>
      <c r="D100" s="37">
        <f>20941.30731+13.5</f>
        <v>20954.80731</v>
      </c>
      <c r="E100" s="37">
        <f>19527.25646+13.5</f>
        <v>19540.756460000001</v>
      </c>
      <c r="F100" s="37">
        <f>18366.13603+13.5</f>
        <v>18379.636030000001</v>
      </c>
      <c r="G100" s="37">
        <v>343.41780999999997</v>
      </c>
      <c r="H100" s="37">
        <v>0</v>
      </c>
      <c r="I100" s="37">
        <v>349.61356000000001</v>
      </c>
      <c r="J100" s="37">
        <v>5.4789999999999998E-2</v>
      </c>
    </row>
    <row r="101" spans="1:10" x14ac:dyDescent="0.2">
      <c r="A101" s="35" t="s">
        <v>177</v>
      </c>
      <c r="B101" s="36" t="s">
        <v>178</v>
      </c>
      <c r="C101" s="37">
        <f>101808.15+[1]SPPS!C73</f>
        <v>103208.15</v>
      </c>
      <c r="D101" s="37">
        <f>96515.61213+[1]SPPS!D73</f>
        <v>98436.062129999991</v>
      </c>
      <c r="E101" s="37">
        <f>73957.03333+[1]SPPS!E73</f>
        <v>75877.483330000003</v>
      </c>
      <c r="F101" s="37">
        <f>72399.52621+[1]SPPS!F73</f>
        <v>74286.826209999999</v>
      </c>
      <c r="G101" s="37">
        <f>1563.13063+[1]SPPS!G73</f>
        <v>1597.9306300000001</v>
      </c>
      <c r="H101" s="37">
        <v>0</v>
      </c>
      <c r="I101" s="37">
        <f>224.58882+[1]SPPS!H73</f>
        <v>226.28881999999999</v>
      </c>
      <c r="J101" s="37">
        <v>0</v>
      </c>
    </row>
    <row r="102" spans="1:10" ht="25.5" x14ac:dyDescent="0.2">
      <c r="A102" s="35" t="s">
        <v>179</v>
      </c>
      <c r="B102" s="36" t="s">
        <v>180</v>
      </c>
      <c r="C102" s="37">
        <v>150644.20000000001</v>
      </c>
      <c r="D102" s="37">
        <f>129873.33683</f>
        <v>129873.33683</v>
      </c>
      <c r="E102" s="37">
        <v>120572.14586</v>
      </c>
      <c r="F102" s="37">
        <v>120474.97010999999</v>
      </c>
      <c r="G102" s="37">
        <v>0</v>
      </c>
      <c r="H102" s="37">
        <v>0</v>
      </c>
      <c r="I102" s="37">
        <v>7.4790000000000009E-2</v>
      </c>
      <c r="J102" s="37">
        <v>0</v>
      </c>
    </row>
    <row r="103" spans="1:10" x14ac:dyDescent="0.2">
      <c r="A103" s="35" t="s">
        <v>181</v>
      </c>
      <c r="B103" s="36" t="s">
        <v>182</v>
      </c>
      <c r="C103" s="37">
        <f>40818.5+[1]SPPS!C74</f>
        <v>41934.6</v>
      </c>
      <c r="D103" s="37">
        <f>59967.79445+[1]SPPS!D74</f>
        <v>60939.084450000002</v>
      </c>
      <c r="E103" s="37">
        <f>55971.21655+[1]SPPS!E74</f>
        <v>56898.616549999999</v>
      </c>
      <c r="F103" s="37">
        <f>57106.97925+[1]SPPS!F74</f>
        <v>58071.27925</v>
      </c>
      <c r="G103" s="37">
        <v>500.47321999999997</v>
      </c>
      <c r="H103" s="37">
        <v>0</v>
      </c>
      <c r="I103" s="37">
        <f>937.35274+[1]SPPS!H74</f>
        <v>981.25274000000002</v>
      </c>
      <c r="J103" s="37">
        <v>0</v>
      </c>
    </row>
    <row r="104" spans="1:10" x14ac:dyDescent="0.2">
      <c r="A104" s="35" t="s">
        <v>183</v>
      </c>
      <c r="B104" s="36" t="s">
        <v>184</v>
      </c>
      <c r="C104" s="37">
        <v>23239.200000000001</v>
      </c>
      <c r="D104" s="37">
        <v>23214.916670000002</v>
      </c>
      <c r="E104" s="37">
        <v>21442.828369999999</v>
      </c>
      <c r="F104" s="37">
        <v>21465.179760000003</v>
      </c>
      <c r="G104" s="37">
        <v>1E-3</v>
      </c>
      <c r="H104" s="37">
        <v>0</v>
      </c>
      <c r="I104" s="37">
        <v>0</v>
      </c>
      <c r="J104" s="37">
        <v>0</v>
      </c>
    </row>
    <row r="105" spans="1:10" x14ac:dyDescent="0.2">
      <c r="A105" s="35" t="s">
        <v>185</v>
      </c>
      <c r="B105" s="36" t="s">
        <v>186</v>
      </c>
      <c r="C105" s="37">
        <f>21167.59+60</f>
        <v>21227.59</v>
      </c>
      <c r="D105" s="37">
        <f>20823.15264+11.5</f>
        <v>20834.65264</v>
      </c>
      <c r="E105" s="37">
        <f>16883.3286+11.5</f>
        <v>16894.828600000001</v>
      </c>
      <c r="F105" s="37">
        <f>15453.55476+11.5</f>
        <v>15465.054760000001</v>
      </c>
      <c r="G105" s="37">
        <v>77.323599999999999</v>
      </c>
      <c r="H105" s="37">
        <v>0</v>
      </c>
      <c r="I105" s="37">
        <v>821.37979000000007</v>
      </c>
      <c r="J105" s="37">
        <v>0</v>
      </c>
    </row>
    <row r="106" spans="1:10" x14ac:dyDescent="0.2">
      <c r="A106" s="35" t="s">
        <v>187</v>
      </c>
      <c r="B106" s="36" t="s">
        <v>188</v>
      </c>
      <c r="C106" s="37">
        <f>14584.18+50</f>
        <v>14634.18</v>
      </c>
      <c r="D106" s="37">
        <f>14878.2856+88.5</f>
        <v>14966.785599999999</v>
      </c>
      <c r="E106" s="37">
        <f>9892.91647+88.5</f>
        <v>9981.4164700000001</v>
      </c>
      <c r="F106" s="37">
        <f>9802.93474+88.5</f>
        <v>9891.4347400000006</v>
      </c>
      <c r="G106" s="37">
        <v>71.866749999999996</v>
      </c>
      <c r="H106" s="37">
        <v>0</v>
      </c>
      <c r="I106" s="37">
        <v>12.12528</v>
      </c>
      <c r="J106" s="37">
        <v>0</v>
      </c>
    </row>
    <row r="107" spans="1:10" x14ac:dyDescent="0.2">
      <c r="A107" s="35" t="s">
        <v>189</v>
      </c>
      <c r="B107" s="36" t="s">
        <v>190</v>
      </c>
      <c r="C107" s="37">
        <v>141303.70000000001</v>
      </c>
      <c r="D107" s="37">
        <v>152444.41859000002</v>
      </c>
      <c r="E107" s="37">
        <v>116613.40017000001</v>
      </c>
      <c r="F107" s="37">
        <v>116114.85326999999</v>
      </c>
      <c r="G107" s="37">
        <v>7.9530000000000003</v>
      </c>
      <c r="H107" s="37">
        <v>0</v>
      </c>
      <c r="I107" s="37">
        <v>0.44283</v>
      </c>
      <c r="J107" s="37">
        <v>0</v>
      </c>
    </row>
    <row r="108" spans="1:10" x14ac:dyDescent="0.2">
      <c r="A108" s="35" t="s">
        <v>191</v>
      </c>
      <c r="B108" s="36" t="s">
        <v>192</v>
      </c>
      <c r="C108" s="37">
        <v>36688.536799999994</v>
      </c>
      <c r="D108" s="37">
        <v>36567.078950000003</v>
      </c>
      <c r="E108" s="37">
        <v>34991.592250000002</v>
      </c>
      <c r="F108" s="37">
        <v>34957.04262</v>
      </c>
      <c r="G108" s="37">
        <v>55.103769999999997</v>
      </c>
      <c r="H108" s="37">
        <v>0</v>
      </c>
      <c r="I108" s="37">
        <v>232.29885000000002</v>
      </c>
      <c r="J108" s="37">
        <v>0</v>
      </c>
    </row>
    <row r="109" spans="1:10" ht="16.5" customHeight="1" x14ac:dyDescent="0.2">
      <c r="A109" s="35" t="s">
        <v>193</v>
      </c>
      <c r="B109" s="36" t="s">
        <v>194</v>
      </c>
      <c r="C109" s="37">
        <v>75517.100000000006</v>
      </c>
      <c r="D109" s="37">
        <v>98426.960999999996</v>
      </c>
      <c r="E109" s="37">
        <v>95367.509720000002</v>
      </c>
      <c r="F109" s="37">
        <v>92850.465319999988</v>
      </c>
      <c r="G109" s="37">
        <v>0.94499999999999995</v>
      </c>
      <c r="H109" s="37">
        <v>0</v>
      </c>
      <c r="I109" s="37">
        <v>1561.1663999999998</v>
      </c>
      <c r="J109" s="37">
        <v>0</v>
      </c>
    </row>
    <row r="110" spans="1:10" x14ac:dyDescent="0.2">
      <c r="A110" s="35" t="s">
        <v>195</v>
      </c>
      <c r="B110" s="36" t="s">
        <v>196</v>
      </c>
      <c r="C110" s="37">
        <v>7108.5</v>
      </c>
      <c r="D110" s="37">
        <v>5734.76</v>
      </c>
      <c r="E110" s="37">
        <v>3785.1109999999999</v>
      </c>
      <c r="F110" s="37">
        <v>3785.1109999999999</v>
      </c>
      <c r="G110" s="37">
        <v>0</v>
      </c>
      <c r="H110" s="37">
        <v>0</v>
      </c>
      <c r="I110" s="37">
        <v>0</v>
      </c>
      <c r="J110" s="37">
        <v>0</v>
      </c>
    </row>
    <row r="111" spans="1:10" ht="13.5" customHeight="1" x14ac:dyDescent="0.2">
      <c r="A111" s="35" t="s">
        <v>197</v>
      </c>
      <c r="B111" s="36" t="s">
        <v>198</v>
      </c>
      <c r="C111" s="37">
        <v>11213.82</v>
      </c>
      <c r="D111" s="37">
        <v>13327.180279999999</v>
      </c>
      <c r="E111" s="37">
        <v>12227.1839</v>
      </c>
      <c r="F111" s="37">
        <v>12218.648380000001</v>
      </c>
      <c r="G111" s="37">
        <v>1.1200000000000001</v>
      </c>
      <c r="H111" s="37">
        <v>0</v>
      </c>
      <c r="I111" s="37">
        <v>0.36102000000000001</v>
      </c>
      <c r="J111" s="37">
        <v>0</v>
      </c>
    </row>
    <row r="112" spans="1:10" x14ac:dyDescent="0.2">
      <c r="A112" s="35" t="s">
        <v>199</v>
      </c>
      <c r="B112" s="36" t="s">
        <v>200</v>
      </c>
      <c r="C112" s="37">
        <f>17972.507+20.7</f>
        <v>17993.207000000002</v>
      </c>
      <c r="D112" s="37">
        <f>20078.35562+12.7</f>
        <v>20091.055619999999</v>
      </c>
      <c r="E112" s="37">
        <f>17556.90254+12.7</f>
        <v>17569.60254</v>
      </c>
      <c r="F112" s="37">
        <f>17729.90052+[1]SPPS!F77</f>
        <v>17743.000519999998</v>
      </c>
      <c r="G112" s="37">
        <v>456.92182000000003</v>
      </c>
      <c r="H112" s="37">
        <v>1.03545</v>
      </c>
      <c r="I112" s="37">
        <v>473.90796</v>
      </c>
      <c r="J112" s="37">
        <v>0</v>
      </c>
    </row>
    <row r="113" spans="1:14" x14ac:dyDescent="0.2">
      <c r="A113" s="35" t="s">
        <v>201</v>
      </c>
      <c r="B113" s="36" t="s">
        <v>202</v>
      </c>
      <c r="C113" s="37">
        <f>1280130.9662+[1]SPPS!C78</f>
        <v>1280723.3661999998</v>
      </c>
      <c r="D113" s="37">
        <f>629087.3488+[1]SPPS!D78</f>
        <v>629403.37880000006</v>
      </c>
      <c r="E113" s="37">
        <f>398859.76234+[1]SPPS!E78</f>
        <v>399169.64234000002</v>
      </c>
      <c r="F113" s="37">
        <f>400338.46407+[1]SPPS!F78</f>
        <v>400649.86407000001</v>
      </c>
      <c r="G113" s="37">
        <v>46438.326209999999</v>
      </c>
      <c r="H113" s="37">
        <v>20.955209999999997</v>
      </c>
      <c r="I113" s="37">
        <v>4793.9190899999994</v>
      </c>
      <c r="J113" s="37">
        <v>4.0000000000000001E-3</v>
      </c>
    </row>
    <row r="114" spans="1:14" s="20" customFormat="1" x14ac:dyDescent="0.2">
      <c r="A114" s="29" t="s">
        <v>203</v>
      </c>
      <c r="B114" s="30">
        <v>23</v>
      </c>
      <c r="C114" s="31">
        <f>C115+C123</f>
        <v>0</v>
      </c>
      <c r="D114" s="31">
        <f t="shared" ref="D114:J114" si="7">D115+D123</f>
        <v>0</v>
      </c>
      <c r="E114" s="31">
        <f t="shared" si="7"/>
        <v>0</v>
      </c>
      <c r="F114" s="31">
        <f t="shared" si="7"/>
        <v>1134312.7945700001</v>
      </c>
      <c r="G114" s="31">
        <f t="shared" si="7"/>
        <v>0</v>
      </c>
      <c r="H114" s="31">
        <f t="shared" si="7"/>
        <v>0</v>
      </c>
      <c r="I114" s="31">
        <f t="shared" si="7"/>
        <v>0</v>
      </c>
      <c r="J114" s="31">
        <f t="shared" si="7"/>
        <v>0</v>
      </c>
    </row>
    <row r="115" spans="1:14" ht="13.5" customHeight="1" x14ac:dyDescent="0.2">
      <c r="A115" s="35" t="s">
        <v>204</v>
      </c>
      <c r="B115" s="36" t="s">
        <v>205</v>
      </c>
      <c r="C115" s="37">
        <v>0</v>
      </c>
      <c r="D115" s="37">
        <v>0</v>
      </c>
      <c r="E115" s="37">
        <v>0</v>
      </c>
      <c r="F115" s="37">
        <f>970592.48294+8227.8</f>
        <v>978820.28294000006</v>
      </c>
      <c r="G115" s="37">
        <v>0</v>
      </c>
      <c r="H115" s="37">
        <v>0</v>
      </c>
      <c r="I115" s="37">
        <v>0</v>
      </c>
      <c r="J115" s="37">
        <v>0</v>
      </c>
    </row>
    <row r="116" spans="1:14" x14ac:dyDescent="0.2">
      <c r="A116" s="35" t="s">
        <v>206</v>
      </c>
      <c r="B116" s="36" t="s">
        <v>207</v>
      </c>
      <c r="C116" s="37">
        <v>0</v>
      </c>
      <c r="D116" s="37">
        <v>0</v>
      </c>
      <c r="E116" s="37">
        <v>0</v>
      </c>
      <c r="F116" s="37">
        <f>278487.0733+550.1</f>
        <v>279037.17329999997</v>
      </c>
      <c r="G116" s="37">
        <v>0</v>
      </c>
      <c r="H116" s="37">
        <v>0</v>
      </c>
      <c r="I116" s="37">
        <v>0</v>
      </c>
      <c r="J116" s="37">
        <v>0</v>
      </c>
    </row>
    <row r="117" spans="1:14" x14ac:dyDescent="0.2">
      <c r="A117" s="35" t="s">
        <v>208</v>
      </c>
      <c r="B117" s="36" t="s">
        <v>209</v>
      </c>
      <c r="C117" s="37">
        <v>0</v>
      </c>
      <c r="D117" s="37">
        <v>0</v>
      </c>
      <c r="E117" s="37">
        <v>0</v>
      </c>
      <c r="F117" s="37">
        <f>37035.34999+91.2</f>
        <v>37126.54999</v>
      </c>
      <c r="G117" s="37">
        <v>0</v>
      </c>
      <c r="H117" s="37">
        <v>0</v>
      </c>
      <c r="I117" s="37">
        <v>0</v>
      </c>
      <c r="J117" s="37">
        <v>0</v>
      </c>
    </row>
    <row r="118" spans="1:14" x14ac:dyDescent="0.2">
      <c r="A118" s="35" t="s">
        <v>210</v>
      </c>
      <c r="B118" s="36" t="s">
        <v>211</v>
      </c>
      <c r="C118" s="37">
        <v>0</v>
      </c>
      <c r="D118" s="37">
        <v>0</v>
      </c>
      <c r="E118" s="37">
        <v>0</v>
      </c>
      <c r="F118" s="37">
        <f>67113.33201+6.6</f>
        <v>67119.932010000004</v>
      </c>
      <c r="G118" s="37">
        <v>0</v>
      </c>
      <c r="H118" s="37">
        <v>0</v>
      </c>
      <c r="I118" s="37">
        <v>0</v>
      </c>
      <c r="J118" s="37">
        <v>0</v>
      </c>
    </row>
    <row r="119" spans="1:14" x14ac:dyDescent="0.2">
      <c r="A119" s="35" t="s">
        <v>212</v>
      </c>
      <c r="B119" s="36" t="s">
        <v>213</v>
      </c>
      <c r="C119" s="37">
        <v>0</v>
      </c>
      <c r="D119" s="37">
        <v>0</v>
      </c>
      <c r="E119" s="37">
        <v>0</v>
      </c>
      <c r="F119" s="37">
        <f>396790.66639+3465.6</f>
        <v>400256.26639</v>
      </c>
      <c r="G119" s="37">
        <v>0</v>
      </c>
      <c r="H119" s="37">
        <v>0</v>
      </c>
      <c r="I119" s="37">
        <v>0</v>
      </c>
      <c r="J119" s="37">
        <v>0</v>
      </c>
    </row>
    <row r="120" spans="1:14" x14ac:dyDescent="0.2">
      <c r="A120" s="35" t="s">
        <v>214</v>
      </c>
      <c r="B120" s="36" t="s">
        <v>215</v>
      </c>
      <c r="C120" s="37">
        <v>0</v>
      </c>
      <c r="D120" s="37">
        <v>0</v>
      </c>
      <c r="E120" s="37">
        <v>0</v>
      </c>
      <c r="F120" s="37">
        <f>122010.98981+3793.4</f>
        <v>125804.38980999999</v>
      </c>
      <c r="G120" s="37">
        <v>0</v>
      </c>
      <c r="H120" s="37">
        <v>0</v>
      </c>
      <c r="I120" s="37">
        <v>0</v>
      </c>
      <c r="J120" s="37">
        <v>0</v>
      </c>
    </row>
    <row r="121" spans="1:14" ht="25.5" x14ac:dyDescent="0.2">
      <c r="A121" s="35" t="s">
        <v>216</v>
      </c>
      <c r="B121" s="36" t="s">
        <v>217</v>
      </c>
      <c r="C121" s="37">
        <v>0</v>
      </c>
      <c r="D121" s="37">
        <v>0</v>
      </c>
      <c r="E121" s="37">
        <v>0</v>
      </c>
      <c r="F121" s="37">
        <f>64808.34894+317.2</f>
        <v>65125.548940000001</v>
      </c>
      <c r="G121" s="37">
        <v>0</v>
      </c>
      <c r="H121" s="37">
        <v>0</v>
      </c>
      <c r="I121" s="37">
        <v>0</v>
      </c>
      <c r="J121" s="37">
        <v>0</v>
      </c>
    </row>
    <row r="122" spans="1:14" x14ac:dyDescent="0.2">
      <c r="A122" s="35" t="s">
        <v>218</v>
      </c>
      <c r="B122" s="36" t="s">
        <v>219</v>
      </c>
      <c r="C122" s="37">
        <v>0</v>
      </c>
      <c r="D122" s="37">
        <v>0</v>
      </c>
      <c r="E122" s="37">
        <v>0</v>
      </c>
      <c r="F122" s="37">
        <f>4346.7225+3.7</f>
        <v>4350.4224999999997</v>
      </c>
      <c r="G122" s="37">
        <v>0</v>
      </c>
      <c r="H122" s="37">
        <v>0</v>
      </c>
      <c r="I122" s="37">
        <v>0</v>
      </c>
      <c r="J122" s="37">
        <v>0</v>
      </c>
    </row>
    <row r="123" spans="1:14" x14ac:dyDescent="0.2">
      <c r="A123" s="35" t="s">
        <v>220</v>
      </c>
      <c r="B123" s="36" t="s">
        <v>221</v>
      </c>
      <c r="C123" s="37">
        <v>0</v>
      </c>
      <c r="D123" s="37">
        <v>0</v>
      </c>
      <c r="E123" s="37">
        <v>0</v>
      </c>
      <c r="F123" s="37">
        <f>155348.61163+143.9</f>
        <v>155492.51162999999</v>
      </c>
      <c r="G123" s="37">
        <v>0</v>
      </c>
      <c r="H123" s="37">
        <v>0</v>
      </c>
      <c r="I123" s="37">
        <v>0</v>
      </c>
      <c r="J123" s="37">
        <v>0</v>
      </c>
    </row>
    <row r="124" spans="1:14" x14ac:dyDescent="0.2">
      <c r="A124" s="35" t="s">
        <v>220</v>
      </c>
      <c r="B124" s="36" t="s">
        <v>222</v>
      </c>
      <c r="C124" s="37">
        <v>0</v>
      </c>
      <c r="D124" s="37">
        <v>0</v>
      </c>
      <c r="E124" s="37">
        <v>0</v>
      </c>
      <c r="F124" s="37">
        <f>155348.61163+143.9</f>
        <v>155492.51162999999</v>
      </c>
      <c r="G124" s="37">
        <v>0</v>
      </c>
      <c r="H124" s="37">
        <v>0</v>
      </c>
      <c r="I124" s="37">
        <v>0</v>
      </c>
      <c r="J124" s="37">
        <v>0</v>
      </c>
    </row>
    <row r="125" spans="1:14" s="20" customFormat="1" x14ac:dyDescent="0.2">
      <c r="A125" s="29" t="s">
        <v>223</v>
      </c>
      <c r="B125" s="30">
        <v>25</v>
      </c>
      <c r="C125" s="31">
        <f>C126+C129+C132+C134</f>
        <v>3579607.3999999994</v>
      </c>
      <c r="D125" s="31">
        <f t="shared" ref="D125:J125" si="8">D126+D129+D132+D134</f>
        <v>4548889.24</v>
      </c>
      <c r="E125" s="31">
        <f t="shared" si="8"/>
        <v>4227840.0934500005</v>
      </c>
      <c r="F125" s="31">
        <f t="shared" si="8"/>
        <v>4196800.0888999999</v>
      </c>
      <c r="G125" s="31">
        <f t="shared" si="8"/>
        <v>93840.810140000001</v>
      </c>
      <c r="H125" s="31">
        <f t="shared" si="8"/>
        <v>0</v>
      </c>
      <c r="I125" s="31">
        <f t="shared" si="8"/>
        <v>4219.34249</v>
      </c>
      <c r="J125" s="31">
        <f t="shared" si="8"/>
        <v>0</v>
      </c>
    </row>
    <row r="126" spans="1:14" x14ac:dyDescent="0.2">
      <c r="A126" s="35" t="s">
        <v>224</v>
      </c>
      <c r="B126" s="36" t="s">
        <v>225</v>
      </c>
      <c r="C126" s="37">
        <v>1565090.2</v>
      </c>
      <c r="D126" s="37">
        <v>2029375.3149999999</v>
      </c>
      <c r="E126" s="37">
        <v>1798743.18056</v>
      </c>
      <c r="F126" s="37">
        <v>1799325.2536600002</v>
      </c>
      <c r="G126" s="37">
        <v>1358.18597</v>
      </c>
      <c r="H126" s="37">
        <v>0</v>
      </c>
      <c r="I126" s="37">
        <v>0</v>
      </c>
      <c r="J126" s="37">
        <v>0</v>
      </c>
      <c r="N126" s="32"/>
    </row>
    <row r="127" spans="1:14" ht="25.5" x14ac:dyDescent="0.2">
      <c r="A127" s="35" t="s">
        <v>226</v>
      </c>
      <c r="B127" s="36" t="s">
        <v>227</v>
      </c>
      <c r="C127" s="37">
        <v>1563090.2</v>
      </c>
      <c r="D127" s="37">
        <v>2027375.3149999999</v>
      </c>
      <c r="E127" s="37">
        <v>1798743.18056</v>
      </c>
      <c r="F127" s="37">
        <v>1799325.2536600002</v>
      </c>
      <c r="G127" s="37">
        <v>1358.18597</v>
      </c>
      <c r="H127" s="37">
        <v>0</v>
      </c>
      <c r="I127" s="37">
        <v>0</v>
      </c>
      <c r="J127" s="37">
        <v>0</v>
      </c>
    </row>
    <row r="128" spans="1:14" ht="16.5" customHeight="1" x14ac:dyDescent="0.2">
      <c r="A128" s="35" t="s">
        <v>228</v>
      </c>
      <c r="B128" s="36" t="s">
        <v>229</v>
      </c>
      <c r="C128" s="37">
        <v>2000</v>
      </c>
      <c r="D128" s="37">
        <v>2000</v>
      </c>
      <c r="E128" s="37">
        <v>0</v>
      </c>
      <c r="F128" s="37">
        <v>0</v>
      </c>
      <c r="G128" s="37">
        <v>0</v>
      </c>
      <c r="H128" s="37">
        <v>0</v>
      </c>
      <c r="I128" s="37">
        <v>0</v>
      </c>
      <c r="J128" s="37">
        <v>0</v>
      </c>
    </row>
    <row r="129" spans="1:14" x14ac:dyDescent="0.2">
      <c r="A129" s="35" t="s">
        <v>230</v>
      </c>
      <c r="B129" s="36" t="s">
        <v>231</v>
      </c>
      <c r="C129" s="37">
        <v>1530566.9</v>
      </c>
      <c r="D129" s="37">
        <v>1999619.1910000001</v>
      </c>
      <c r="E129" s="37">
        <v>1933615.1528099999</v>
      </c>
      <c r="F129" s="37">
        <v>1891620.13378</v>
      </c>
      <c r="G129" s="37">
        <v>67282.447109999994</v>
      </c>
      <c r="H129" s="37">
        <v>0</v>
      </c>
      <c r="I129" s="37">
        <v>3845.9336800000001</v>
      </c>
      <c r="J129" s="37">
        <v>0</v>
      </c>
    </row>
    <row r="130" spans="1:14" x14ac:dyDescent="0.2">
      <c r="A130" s="35" t="s">
        <v>232</v>
      </c>
      <c r="B130" s="36" t="s">
        <v>233</v>
      </c>
      <c r="C130" s="37">
        <v>1519566.9</v>
      </c>
      <c r="D130" s="37">
        <v>1939174.638</v>
      </c>
      <c r="E130" s="37">
        <v>1873170.59981</v>
      </c>
      <c r="F130" s="37">
        <v>1831175.58078</v>
      </c>
      <c r="G130" s="37">
        <v>67266.917000000001</v>
      </c>
      <c r="H130" s="37">
        <v>0</v>
      </c>
      <c r="I130" s="37">
        <v>3845.9336800000001</v>
      </c>
      <c r="J130" s="37">
        <v>0</v>
      </c>
    </row>
    <row r="131" spans="1:14" x14ac:dyDescent="0.2">
      <c r="A131" s="35" t="s">
        <v>234</v>
      </c>
      <c r="B131" s="36" t="s">
        <v>235</v>
      </c>
      <c r="C131" s="37">
        <v>11000</v>
      </c>
      <c r="D131" s="37">
        <v>60444.553</v>
      </c>
      <c r="E131" s="37">
        <v>60444.553</v>
      </c>
      <c r="F131" s="37">
        <v>60444.553</v>
      </c>
      <c r="G131" s="37">
        <v>15.530110000000001</v>
      </c>
      <c r="H131" s="37">
        <v>0</v>
      </c>
      <c r="I131" s="37">
        <v>0</v>
      </c>
      <c r="J131" s="37">
        <v>0</v>
      </c>
    </row>
    <row r="132" spans="1:14" x14ac:dyDescent="0.2">
      <c r="A132" s="35" t="s">
        <v>236</v>
      </c>
      <c r="B132" s="36" t="s">
        <v>237</v>
      </c>
      <c r="C132" s="37">
        <v>72640.5</v>
      </c>
      <c r="D132" s="37">
        <v>73741.376000000004</v>
      </c>
      <c r="E132" s="37">
        <v>67516.676699999996</v>
      </c>
      <c r="F132" s="37">
        <v>70425.821110000004</v>
      </c>
      <c r="G132" s="37">
        <v>23436.473249999999</v>
      </c>
      <c r="H132" s="37">
        <v>0</v>
      </c>
      <c r="I132" s="37">
        <v>200.23001000000002</v>
      </c>
      <c r="J132" s="37">
        <v>0</v>
      </c>
    </row>
    <row r="133" spans="1:14" x14ac:dyDescent="0.2">
      <c r="A133" s="35" t="s">
        <v>236</v>
      </c>
      <c r="B133" s="36" t="s">
        <v>238</v>
      </c>
      <c r="C133" s="37">
        <v>72640.5</v>
      </c>
      <c r="D133" s="37">
        <v>73741.376000000004</v>
      </c>
      <c r="E133" s="37">
        <v>67516.676699999996</v>
      </c>
      <c r="F133" s="37">
        <v>70425.821110000004</v>
      </c>
      <c r="G133" s="37">
        <v>23436.473249999999</v>
      </c>
      <c r="H133" s="37">
        <v>0</v>
      </c>
      <c r="I133" s="37">
        <v>200.23001000000002</v>
      </c>
      <c r="J133" s="37">
        <v>0</v>
      </c>
    </row>
    <row r="134" spans="1:14" ht="25.5" x14ac:dyDescent="0.2">
      <c r="A134" s="35" t="s">
        <v>239</v>
      </c>
      <c r="B134" s="36" t="s">
        <v>240</v>
      </c>
      <c r="C134" s="37">
        <v>411309.8</v>
      </c>
      <c r="D134" s="37">
        <v>446153.35800000001</v>
      </c>
      <c r="E134" s="37">
        <v>427965.08337999997</v>
      </c>
      <c r="F134" s="37">
        <v>435428.88035000005</v>
      </c>
      <c r="G134" s="37">
        <v>1763.70381</v>
      </c>
      <c r="H134" s="37">
        <v>0</v>
      </c>
      <c r="I134" s="37">
        <v>173.1788</v>
      </c>
      <c r="J134" s="37">
        <v>0</v>
      </c>
    </row>
    <row r="135" spans="1:14" ht="25.5" x14ac:dyDescent="0.2">
      <c r="A135" s="35" t="s">
        <v>239</v>
      </c>
      <c r="B135" s="36" t="s">
        <v>241</v>
      </c>
      <c r="C135" s="37">
        <v>411309.8</v>
      </c>
      <c r="D135" s="37">
        <v>446153.35800000001</v>
      </c>
      <c r="E135" s="37">
        <v>427965.08337999997</v>
      </c>
      <c r="F135" s="37">
        <v>435428.88035000005</v>
      </c>
      <c r="G135" s="37">
        <v>1763.70381</v>
      </c>
      <c r="H135" s="37">
        <v>0</v>
      </c>
      <c r="I135" s="37">
        <v>173.1788</v>
      </c>
      <c r="J135" s="37">
        <v>0</v>
      </c>
    </row>
    <row r="136" spans="1:14" s="20" customFormat="1" x14ac:dyDescent="0.2">
      <c r="A136" s="29" t="s">
        <v>242</v>
      </c>
      <c r="B136" s="30">
        <v>26</v>
      </c>
      <c r="C136" s="31">
        <f>C137</f>
        <v>1460488.4</v>
      </c>
      <c r="D136" s="31">
        <f t="shared" ref="D136:J136" si="9">D137</f>
        <v>1836130.8579500001</v>
      </c>
      <c r="E136" s="31">
        <f t="shared" si="9"/>
        <v>1324980.6321500002</v>
      </c>
      <c r="F136" s="31">
        <f t="shared" si="9"/>
        <v>1248885.80522</v>
      </c>
      <c r="G136" s="31">
        <f t="shared" si="9"/>
        <v>129331.14926000001</v>
      </c>
      <c r="H136" s="31">
        <f t="shared" si="9"/>
        <v>0</v>
      </c>
      <c r="I136" s="31">
        <f t="shared" si="9"/>
        <v>0</v>
      </c>
      <c r="J136" s="31">
        <f t="shared" si="9"/>
        <v>0</v>
      </c>
    </row>
    <row r="137" spans="1:14" x14ac:dyDescent="0.2">
      <c r="A137" s="35" t="s">
        <v>243</v>
      </c>
      <c r="B137" s="36" t="s">
        <v>244</v>
      </c>
      <c r="C137" s="37">
        <v>1460488.4</v>
      </c>
      <c r="D137" s="37">
        <v>1836130.8579500001</v>
      </c>
      <c r="E137" s="37">
        <v>1324980.6321500002</v>
      </c>
      <c r="F137" s="37">
        <v>1248885.80522</v>
      </c>
      <c r="G137" s="37">
        <v>129331.14926000001</v>
      </c>
      <c r="H137" s="37">
        <v>0</v>
      </c>
      <c r="I137" s="37">
        <v>0</v>
      </c>
      <c r="J137" s="37">
        <v>0</v>
      </c>
      <c r="N137" s="32"/>
    </row>
    <row r="138" spans="1:14" ht="16.5" customHeight="1" x14ac:dyDescent="0.2">
      <c r="A138" s="35" t="s">
        <v>245</v>
      </c>
      <c r="B138" s="36" t="s">
        <v>246</v>
      </c>
      <c r="C138" s="37">
        <v>418752.6</v>
      </c>
      <c r="D138" s="37">
        <v>1017123.786</v>
      </c>
      <c r="E138" s="37">
        <v>792907.23510000005</v>
      </c>
      <c r="F138" s="37">
        <v>791803.95502999995</v>
      </c>
      <c r="G138" s="37">
        <v>2743.76899</v>
      </c>
      <c r="H138" s="37">
        <v>0</v>
      </c>
      <c r="I138" s="37">
        <v>0</v>
      </c>
      <c r="J138" s="37">
        <v>0</v>
      </c>
    </row>
    <row r="139" spans="1:14" x14ac:dyDescent="0.2">
      <c r="A139" s="35" t="s">
        <v>247</v>
      </c>
      <c r="B139" s="36" t="s">
        <v>248</v>
      </c>
      <c r="C139" s="37">
        <v>18359.099999999999</v>
      </c>
      <c r="D139" s="37">
        <v>35803.599999999999</v>
      </c>
      <c r="E139" s="37">
        <v>33993.208909999994</v>
      </c>
      <c r="F139" s="37">
        <v>33993.208909999994</v>
      </c>
      <c r="G139" s="37">
        <v>0</v>
      </c>
      <c r="H139" s="37">
        <v>0</v>
      </c>
      <c r="I139" s="37">
        <v>0</v>
      </c>
      <c r="J139" s="37">
        <v>0</v>
      </c>
    </row>
    <row r="140" spans="1:14" ht="15" customHeight="1" x14ac:dyDescent="0.2">
      <c r="A140" s="35" t="s">
        <v>249</v>
      </c>
      <c r="B140" s="36" t="s">
        <v>250</v>
      </c>
      <c r="C140" s="37">
        <v>997426.6</v>
      </c>
      <c r="D140" s="37">
        <v>697058.21499999997</v>
      </c>
      <c r="E140" s="37">
        <v>434770.19585000002</v>
      </c>
      <c r="F140" s="37">
        <v>359778.64899000002</v>
      </c>
      <c r="G140" s="37">
        <v>126587.38026999999</v>
      </c>
      <c r="H140" s="37">
        <v>0</v>
      </c>
      <c r="I140" s="37">
        <v>0</v>
      </c>
      <c r="J140" s="37">
        <v>0</v>
      </c>
    </row>
    <row r="141" spans="1:14" x14ac:dyDescent="0.2">
      <c r="A141" s="35" t="s">
        <v>251</v>
      </c>
      <c r="B141" s="36" t="s">
        <v>252</v>
      </c>
      <c r="C141" s="37">
        <v>25950.1</v>
      </c>
      <c r="D141" s="37">
        <v>86145.25695000001</v>
      </c>
      <c r="E141" s="37">
        <v>63309.992290000002</v>
      </c>
      <c r="F141" s="37">
        <v>63309.992290000002</v>
      </c>
      <c r="G141" s="37">
        <v>0</v>
      </c>
      <c r="H141" s="37">
        <v>0</v>
      </c>
      <c r="I141" s="37">
        <v>0</v>
      </c>
      <c r="J141" s="37">
        <v>0</v>
      </c>
    </row>
    <row r="142" spans="1:14" s="20" customFormat="1" x14ac:dyDescent="0.2">
      <c r="A142" s="29" t="s">
        <v>253</v>
      </c>
      <c r="B142" s="30">
        <v>27</v>
      </c>
      <c r="C142" s="31">
        <f>C143+C149</f>
        <v>1348562.6</v>
      </c>
      <c r="D142" s="31">
        <f t="shared" ref="D142:J142" si="10">D143+D149</f>
        <v>3206644.4197999998</v>
      </c>
      <c r="E142" s="31">
        <f t="shared" si="10"/>
        <v>3114018.8682599999</v>
      </c>
      <c r="F142" s="31">
        <f t="shared" si="10"/>
        <v>2818697.7098400001</v>
      </c>
      <c r="G142" s="31">
        <f t="shared" si="10"/>
        <v>289860.68083000003</v>
      </c>
      <c r="H142" s="31">
        <f t="shared" si="10"/>
        <v>3.1963400000000002</v>
      </c>
      <c r="I142" s="31">
        <f t="shared" si="10"/>
        <v>13777.86304</v>
      </c>
      <c r="J142" s="31">
        <f t="shared" si="10"/>
        <v>2.5028200000000003</v>
      </c>
    </row>
    <row r="143" spans="1:14" x14ac:dyDescent="0.2">
      <c r="A143" s="35" t="s">
        <v>254</v>
      </c>
      <c r="B143" s="36" t="s">
        <v>255</v>
      </c>
      <c r="C143" s="37">
        <f>1033019.4+[1]SPPS!C89</f>
        <v>1033043.8</v>
      </c>
      <c r="D143" s="37">
        <f>2737445.895+24.4</f>
        <v>2737470.2949999999</v>
      </c>
      <c r="E143" s="37">
        <f>2685917.96111+24.4</f>
        <v>2685942.3611099999</v>
      </c>
      <c r="F143" s="37">
        <f>2395878.11058+24.4</f>
        <v>2395902.51058</v>
      </c>
      <c r="G143" s="37">
        <f>289813.12646</f>
        <v>289813.12646</v>
      </c>
      <c r="H143" s="37">
        <v>0</v>
      </c>
      <c r="I143" s="37">
        <v>1378.4095600000001</v>
      </c>
      <c r="J143" s="37">
        <v>0</v>
      </c>
    </row>
    <row r="144" spans="1:14" x14ac:dyDescent="0.2">
      <c r="A144" s="35" t="s">
        <v>256</v>
      </c>
      <c r="B144" s="36" t="s">
        <v>257</v>
      </c>
      <c r="C144" s="37">
        <v>538.5</v>
      </c>
      <c r="D144" s="37">
        <v>538.5</v>
      </c>
      <c r="E144" s="37">
        <v>538.5</v>
      </c>
      <c r="F144" s="37">
        <v>538.5</v>
      </c>
      <c r="G144" s="37">
        <v>0</v>
      </c>
      <c r="H144" s="37">
        <v>0</v>
      </c>
      <c r="I144" s="37">
        <v>0</v>
      </c>
      <c r="J144" s="37">
        <v>0</v>
      </c>
    </row>
    <row r="145" spans="1:10" x14ac:dyDescent="0.2">
      <c r="A145" s="35" t="s">
        <v>258</v>
      </c>
      <c r="B145" s="36" t="s">
        <v>259</v>
      </c>
      <c r="C145" s="37">
        <v>43175.4</v>
      </c>
      <c r="D145" s="37">
        <v>41548.199999999997</v>
      </c>
      <c r="E145" s="37">
        <v>35074.348180000001</v>
      </c>
      <c r="F145" s="37">
        <v>34271.696429999996</v>
      </c>
      <c r="G145" s="37">
        <v>335.72858000000002</v>
      </c>
      <c r="H145" s="37">
        <v>0</v>
      </c>
      <c r="I145" s="37">
        <v>646.94865000000004</v>
      </c>
      <c r="J145" s="37">
        <v>0</v>
      </c>
    </row>
    <row r="146" spans="1:10" x14ac:dyDescent="0.2">
      <c r="A146" s="35" t="s">
        <v>260</v>
      </c>
      <c r="B146" s="36" t="s">
        <v>261</v>
      </c>
      <c r="C146" s="37">
        <f>959551.8+24.4</f>
        <v>959576.20000000007</v>
      </c>
      <c r="D146" s="37">
        <f>2620786.735+24.4</f>
        <v>2620811.1349999998</v>
      </c>
      <c r="E146" s="37">
        <f>2588660.13303+24.4</f>
        <v>2588684.53303</v>
      </c>
      <c r="F146" s="37">
        <f>2299186.08515+24.4</f>
        <v>2299210.4851500001</v>
      </c>
      <c r="G146" s="37">
        <v>289477.39788</v>
      </c>
      <c r="H146" s="37">
        <v>0</v>
      </c>
      <c r="I146" s="37">
        <v>18.7</v>
      </c>
      <c r="J146" s="37">
        <v>0</v>
      </c>
    </row>
    <row r="147" spans="1:10" x14ac:dyDescent="0.2">
      <c r="A147" s="35" t="s">
        <v>262</v>
      </c>
      <c r="B147" s="36" t="s">
        <v>263</v>
      </c>
      <c r="C147" s="37">
        <v>16813.5</v>
      </c>
      <c r="D147" s="37">
        <v>44334.26</v>
      </c>
      <c r="E147" s="37">
        <v>39447.812969999999</v>
      </c>
      <c r="F147" s="37">
        <v>39446.093070000003</v>
      </c>
      <c r="G147" s="37">
        <v>0</v>
      </c>
      <c r="H147" s="37">
        <v>0</v>
      </c>
      <c r="I147" s="37">
        <v>0</v>
      </c>
      <c r="J147" s="37">
        <v>0</v>
      </c>
    </row>
    <row r="148" spans="1:10" x14ac:dyDescent="0.2">
      <c r="A148" s="35" t="s">
        <v>264</v>
      </c>
      <c r="B148" s="36" t="s">
        <v>265</v>
      </c>
      <c r="C148" s="37">
        <v>12940.2</v>
      </c>
      <c r="D148" s="37">
        <v>30238.2</v>
      </c>
      <c r="E148" s="37">
        <v>22197.166929999999</v>
      </c>
      <c r="F148" s="37">
        <v>22435.735929999999</v>
      </c>
      <c r="G148" s="37">
        <v>0</v>
      </c>
      <c r="H148" s="37">
        <v>0</v>
      </c>
      <c r="I148" s="37">
        <v>712.76091000000008</v>
      </c>
      <c r="J148" s="37">
        <v>0</v>
      </c>
    </row>
    <row r="149" spans="1:10" x14ac:dyDescent="0.2">
      <c r="A149" s="35" t="s">
        <v>266</v>
      </c>
      <c r="B149" s="36" t="s">
        <v>267</v>
      </c>
      <c r="C149" s="37">
        <f>303018.8+[1]SPPS!C91</f>
        <v>315518.8</v>
      </c>
      <c r="D149" s="37">
        <f>454505.5948+[1]SPPS!D91</f>
        <v>469174.12480000005</v>
      </c>
      <c r="E149" s="37">
        <f>413407.97715+[1]SPPS!E91</f>
        <v>428076.50715000002</v>
      </c>
      <c r="F149" s="37">
        <f>407532.79926+[1]SPPS!F91</f>
        <v>422795.19926000002</v>
      </c>
      <c r="G149" s="37">
        <v>47.554370000000006</v>
      </c>
      <c r="H149" s="37">
        <v>3.1963400000000002</v>
      </c>
      <c r="I149" s="37">
        <f>11576.35348+823.1</f>
        <v>12399.45348</v>
      </c>
      <c r="J149" s="37">
        <v>2.5028200000000003</v>
      </c>
    </row>
    <row r="150" spans="1:10" ht="25.5" x14ac:dyDescent="0.2">
      <c r="A150" s="35" t="s">
        <v>268</v>
      </c>
      <c r="B150" s="36" t="s">
        <v>269</v>
      </c>
      <c r="C150" s="37">
        <v>41231.5</v>
      </c>
      <c r="D150" s="37">
        <v>31852.317429999999</v>
      </c>
      <c r="E150" s="37">
        <v>26467.000989999997</v>
      </c>
      <c r="F150" s="37">
        <v>26430.27116</v>
      </c>
      <c r="G150" s="37">
        <v>0</v>
      </c>
      <c r="H150" s="37">
        <v>0</v>
      </c>
      <c r="I150" s="37">
        <v>6.4401999999999999</v>
      </c>
      <c r="J150" s="37">
        <v>0</v>
      </c>
    </row>
    <row r="151" spans="1:10" x14ac:dyDescent="0.2">
      <c r="A151" s="35" t="s">
        <v>270</v>
      </c>
      <c r="B151" s="36" t="s">
        <v>271</v>
      </c>
      <c r="C151" s="37">
        <f>123474.7+[1]SPPS!C92</f>
        <v>135474.70000000001</v>
      </c>
      <c r="D151" s="37">
        <f>185180.10412+[1]SPPS!D92</f>
        <v>198892.63412</v>
      </c>
      <c r="E151" s="37">
        <f>164205.36736+[1]SPPS!E92</f>
        <v>177917.89736</v>
      </c>
      <c r="F151" s="37">
        <f>159761.05402+[1]SPPS!F92</f>
        <v>174260.85402</v>
      </c>
      <c r="G151" s="37">
        <v>9.9385499999999993</v>
      </c>
      <c r="H151" s="37">
        <v>3.1963400000000002</v>
      </c>
      <c r="I151" s="37">
        <f>6491.06796+787.3</f>
        <v>7278.3679600000005</v>
      </c>
      <c r="J151" s="37">
        <v>0</v>
      </c>
    </row>
    <row r="152" spans="1:10" x14ac:dyDescent="0.2">
      <c r="A152" s="35" t="s">
        <v>272</v>
      </c>
      <c r="B152" s="36" t="s">
        <v>273</v>
      </c>
      <c r="C152" s="37">
        <v>29561.3</v>
      </c>
      <c r="D152" s="37">
        <v>28584.146000000001</v>
      </c>
      <c r="E152" s="37">
        <v>27592.87472</v>
      </c>
      <c r="F152" s="37">
        <v>27557.044859999998</v>
      </c>
      <c r="G152" s="37">
        <v>22.068300000000001</v>
      </c>
      <c r="H152" s="37">
        <v>0</v>
      </c>
      <c r="I152" s="37">
        <v>199.5</v>
      </c>
      <c r="J152" s="37">
        <v>0</v>
      </c>
    </row>
    <row r="153" spans="1:10" ht="25.5" x14ac:dyDescent="0.2">
      <c r="A153" s="35" t="s">
        <v>274</v>
      </c>
      <c r="B153" s="36" t="s">
        <v>275</v>
      </c>
      <c r="C153" s="37">
        <f>34448.1+[1]SPPS!C93</f>
        <v>34798.1</v>
      </c>
      <c r="D153" s="37">
        <f>38664.48907+[1]SPPS!D93</f>
        <v>39000.099070000004</v>
      </c>
      <c r="E153" s="37">
        <f>34129.58551+[1]SPPS!E93</f>
        <v>34465.195509999998</v>
      </c>
      <c r="F153" s="37">
        <f>34431.90074+[1]SPPS!F93</f>
        <v>34787.20074</v>
      </c>
      <c r="G153" s="37">
        <v>15.25934</v>
      </c>
      <c r="H153" s="37">
        <v>0</v>
      </c>
      <c r="I153" s="37">
        <f>2309.1232+35.8</f>
        <v>2344.9232000000002</v>
      </c>
      <c r="J153" s="37">
        <v>2.5028200000000003</v>
      </c>
    </row>
    <row r="154" spans="1:10" x14ac:dyDescent="0.2">
      <c r="A154" s="35" t="s">
        <v>276</v>
      </c>
      <c r="B154" s="36" t="s">
        <v>277</v>
      </c>
      <c r="C154" s="37">
        <f>74303.2+[1]SPPS!C94</f>
        <v>74453.2</v>
      </c>
      <c r="D154" s="37">
        <f>170224.53818+[1]SPPS!D94</f>
        <v>170844.92818000002</v>
      </c>
      <c r="E154" s="37">
        <f>161013.14857+[1]SPPS!E94</f>
        <v>161633.53857</v>
      </c>
      <c r="F154" s="37">
        <f>159352.52848+[1]SPPS!F94</f>
        <v>159759.82848</v>
      </c>
      <c r="G154" s="37">
        <v>0.28817999999999999</v>
      </c>
      <c r="H154" s="37">
        <v>0</v>
      </c>
      <c r="I154" s="37">
        <v>2570.2221199999999</v>
      </c>
      <c r="J154" s="37">
        <v>0</v>
      </c>
    </row>
    <row r="155" spans="1:10" s="20" customFormat="1" x14ac:dyDescent="0.2">
      <c r="A155" s="29" t="s">
        <v>278</v>
      </c>
      <c r="B155" s="30">
        <v>28</v>
      </c>
      <c r="C155" s="31">
        <f>C156+C174+C177</f>
        <v>3576345.1999999997</v>
      </c>
      <c r="D155" s="31">
        <f t="shared" ref="D155:J155" si="11">D156+D174+D177</f>
        <v>3356859.7518500001</v>
      </c>
      <c r="E155" s="31">
        <f t="shared" si="11"/>
        <v>2929013.0228200001</v>
      </c>
      <c r="F155" s="31">
        <f t="shared" si="11"/>
        <v>9024231.8583399989</v>
      </c>
      <c r="G155" s="31">
        <f t="shared" si="11"/>
        <v>15672.96725</v>
      </c>
      <c r="H155" s="31">
        <f t="shared" si="11"/>
        <v>5532.1131599999999</v>
      </c>
      <c r="I155" s="31">
        <f t="shared" si="11"/>
        <v>5773.9338900000002</v>
      </c>
      <c r="J155" s="31">
        <f t="shared" si="11"/>
        <v>388.68099999999998</v>
      </c>
    </row>
    <row r="156" spans="1:10" x14ac:dyDescent="0.2">
      <c r="A156" s="35" t="s">
        <v>279</v>
      </c>
      <c r="B156" s="36" t="s">
        <v>280</v>
      </c>
      <c r="C156" s="37">
        <f>2628861.8+[1]SPPS!C95</f>
        <v>2629041.7999999998</v>
      </c>
      <c r="D156" s="37">
        <f>2814395.1578+39.4</f>
        <v>2814434.5578000001</v>
      </c>
      <c r="E156" s="37">
        <f>2650670.74544+39.4</f>
        <v>2650710.1454400001</v>
      </c>
      <c r="F156" s="37">
        <f>2641072.50817+39.4</f>
        <v>2641111.9081699997</v>
      </c>
      <c r="G156" s="37">
        <v>15672.68417</v>
      </c>
      <c r="H156" s="37">
        <v>5532.1131599999999</v>
      </c>
      <c r="I156" s="37">
        <v>2864.27756</v>
      </c>
      <c r="J156" s="37">
        <v>0</v>
      </c>
    </row>
    <row r="157" spans="1:10" x14ac:dyDescent="0.2">
      <c r="A157" s="35" t="s">
        <v>281</v>
      </c>
      <c r="B157" s="36" t="s">
        <v>282</v>
      </c>
      <c r="C157" s="37">
        <v>35802.6</v>
      </c>
      <c r="D157" s="37">
        <v>31403.232110000001</v>
      </c>
      <c r="E157" s="37">
        <v>29522.716390000001</v>
      </c>
      <c r="F157" s="37">
        <v>29519.610840000001</v>
      </c>
      <c r="G157" s="37">
        <v>2.1597199999999996</v>
      </c>
      <c r="H157" s="37">
        <v>0</v>
      </c>
      <c r="I157" s="37">
        <v>0</v>
      </c>
      <c r="J157" s="37">
        <v>0</v>
      </c>
    </row>
    <row r="158" spans="1:10" x14ac:dyDescent="0.2">
      <c r="A158" s="35" t="s">
        <v>283</v>
      </c>
      <c r="B158" s="36" t="s">
        <v>284</v>
      </c>
      <c r="C158" s="37">
        <v>267.5</v>
      </c>
      <c r="D158" s="37">
        <v>51.215000000000003</v>
      </c>
      <c r="E158" s="37">
        <v>19.048009999999998</v>
      </c>
      <c r="F158" s="37">
        <v>21.335000000000001</v>
      </c>
      <c r="G158" s="37">
        <v>0</v>
      </c>
      <c r="H158" s="37">
        <v>0</v>
      </c>
      <c r="I158" s="37">
        <v>0</v>
      </c>
      <c r="J158" s="37">
        <v>0</v>
      </c>
    </row>
    <row r="159" spans="1:10" x14ac:dyDescent="0.2">
      <c r="A159" s="35" t="s">
        <v>285</v>
      </c>
      <c r="B159" s="36" t="s">
        <v>286</v>
      </c>
      <c r="C159" s="37">
        <v>303533.7</v>
      </c>
      <c r="D159" s="37">
        <v>282864.58370999998</v>
      </c>
      <c r="E159" s="37">
        <v>278327.69711000001</v>
      </c>
      <c r="F159" s="37">
        <v>280635.98864999996</v>
      </c>
      <c r="G159" s="37">
        <v>0</v>
      </c>
      <c r="H159" s="37">
        <v>0</v>
      </c>
      <c r="I159" s="37">
        <v>15.275</v>
      </c>
      <c r="J159" s="37">
        <v>0</v>
      </c>
    </row>
    <row r="160" spans="1:10" x14ac:dyDescent="0.2">
      <c r="A160" s="35" t="s">
        <v>287</v>
      </c>
      <c r="B160" s="36" t="s">
        <v>288</v>
      </c>
      <c r="C160" s="37">
        <v>1994.5</v>
      </c>
      <c r="D160" s="37">
        <v>1698.3920000000001</v>
      </c>
      <c r="E160" s="37">
        <v>1651.1669999999999</v>
      </c>
      <c r="F160" s="37">
        <v>1698.3920000000001</v>
      </c>
      <c r="G160" s="37">
        <v>55.921999999999997</v>
      </c>
      <c r="H160" s="37">
        <v>0</v>
      </c>
      <c r="I160" s="37">
        <v>0</v>
      </c>
      <c r="J160" s="37">
        <v>0</v>
      </c>
    </row>
    <row r="161" spans="1:10" x14ac:dyDescent="0.2">
      <c r="A161" s="35" t="s">
        <v>289</v>
      </c>
      <c r="B161" s="36" t="s">
        <v>290</v>
      </c>
      <c r="C161" s="37">
        <v>9209.5</v>
      </c>
      <c r="D161" s="37">
        <v>7663.39</v>
      </c>
      <c r="E161" s="37">
        <v>7582.7699499999999</v>
      </c>
      <c r="F161" s="37">
        <v>7582.7699499999999</v>
      </c>
      <c r="G161" s="37">
        <v>0</v>
      </c>
      <c r="H161" s="37">
        <v>0</v>
      </c>
      <c r="I161" s="37">
        <v>0</v>
      </c>
      <c r="J161" s="37">
        <v>0</v>
      </c>
    </row>
    <row r="162" spans="1:10" x14ac:dyDescent="0.2">
      <c r="A162" s="35" t="s">
        <v>291</v>
      </c>
      <c r="B162" s="36" t="s">
        <v>292</v>
      </c>
      <c r="C162" s="37">
        <v>22430.1</v>
      </c>
      <c r="D162" s="37">
        <v>19932.900000000001</v>
      </c>
      <c r="E162" s="37">
        <v>15184.562</v>
      </c>
      <c r="F162" s="37">
        <v>15188.383159999999</v>
      </c>
      <c r="G162" s="37">
        <v>0</v>
      </c>
      <c r="H162" s="37">
        <v>0</v>
      </c>
      <c r="I162" s="37">
        <v>594.72231999999997</v>
      </c>
      <c r="J162" s="37">
        <v>0</v>
      </c>
    </row>
    <row r="163" spans="1:10" x14ac:dyDescent="0.2">
      <c r="A163" s="35" t="s">
        <v>293</v>
      </c>
      <c r="B163" s="36" t="s">
        <v>294</v>
      </c>
      <c r="C163" s="37">
        <f>10430.4+150</f>
        <v>10580.4</v>
      </c>
      <c r="D163" s="37">
        <f>16790.15329+39.4</f>
        <v>16829.55329</v>
      </c>
      <c r="E163" s="37">
        <f>14265.19851+39.4</f>
        <v>14304.59851</v>
      </c>
      <c r="F163" s="37">
        <f>9766.52541+39.4</f>
        <v>9805.9254099999998</v>
      </c>
      <c r="G163" s="37">
        <v>5908.0305699999999</v>
      </c>
      <c r="H163" s="37">
        <v>5532.1131599999999</v>
      </c>
      <c r="I163" s="37">
        <v>55.169280000000001</v>
      </c>
      <c r="J163" s="37">
        <v>0</v>
      </c>
    </row>
    <row r="164" spans="1:10" x14ac:dyDescent="0.2">
      <c r="A164" s="35" t="s">
        <v>295</v>
      </c>
      <c r="B164" s="36" t="s">
        <v>296</v>
      </c>
      <c r="C164" s="37">
        <v>10</v>
      </c>
      <c r="D164" s="37">
        <v>3788.931</v>
      </c>
      <c r="E164" s="37">
        <v>3779.0710299999996</v>
      </c>
      <c r="F164" s="37">
        <v>3779.0710299999996</v>
      </c>
      <c r="G164" s="37">
        <v>0.48</v>
      </c>
      <c r="H164" s="37">
        <v>0</v>
      </c>
      <c r="I164" s="37">
        <v>0</v>
      </c>
      <c r="J164" s="37">
        <v>0</v>
      </c>
    </row>
    <row r="165" spans="1:10" x14ac:dyDescent="0.2">
      <c r="A165" s="35" t="s">
        <v>297</v>
      </c>
      <c r="B165" s="36" t="s">
        <v>298</v>
      </c>
      <c r="C165" s="37">
        <v>524</v>
      </c>
      <c r="D165" s="37">
        <v>657.5</v>
      </c>
      <c r="E165" s="37">
        <v>526.78210000000001</v>
      </c>
      <c r="F165" s="37">
        <v>526.78210000000001</v>
      </c>
      <c r="G165" s="37">
        <v>0</v>
      </c>
      <c r="H165" s="37">
        <v>0</v>
      </c>
      <c r="I165" s="37">
        <v>0</v>
      </c>
      <c r="J165" s="37">
        <v>0</v>
      </c>
    </row>
    <row r="166" spans="1:10" x14ac:dyDescent="0.2">
      <c r="A166" s="35" t="s">
        <v>299</v>
      </c>
      <c r="B166" s="36" t="s">
        <v>300</v>
      </c>
      <c r="C166" s="37">
        <v>701.3</v>
      </c>
      <c r="D166" s="37">
        <v>1044.74766</v>
      </c>
      <c r="E166" s="37">
        <v>850.33884</v>
      </c>
      <c r="F166" s="37">
        <v>884.10453000000007</v>
      </c>
      <c r="G166" s="37">
        <v>80.966920000000002</v>
      </c>
      <c r="H166" s="37">
        <v>0</v>
      </c>
      <c r="I166" s="37">
        <v>171.1001</v>
      </c>
      <c r="J166" s="37">
        <v>0</v>
      </c>
    </row>
    <row r="167" spans="1:10" ht="25.5" x14ac:dyDescent="0.2">
      <c r="A167" s="35" t="s">
        <v>301</v>
      </c>
      <c r="B167" s="36" t="s">
        <v>302</v>
      </c>
      <c r="C167" s="37">
        <v>0</v>
      </c>
      <c r="D167" s="37">
        <v>-130.1</v>
      </c>
      <c r="E167" s="37">
        <v>-218.73554999999999</v>
      </c>
      <c r="F167" s="37">
        <v>0</v>
      </c>
      <c r="G167" s="37">
        <v>0</v>
      </c>
      <c r="H167" s="37">
        <v>0</v>
      </c>
      <c r="I167" s="37">
        <v>0</v>
      </c>
      <c r="J167" s="37">
        <v>0</v>
      </c>
    </row>
    <row r="168" spans="1:10" x14ac:dyDescent="0.2">
      <c r="A168" s="35" t="s">
        <v>303</v>
      </c>
      <c r="B168" s="36" t="s">
        <v>304</v>
      </c>
      <c r="C168" s="37">
        <v>228870.1</v>
      </c>
      <c r="D168" s="37">
        <v>219158.19455000001</v>
      </c>
      <c r="E168" s="37">
        <v>148697.08784999998</v>
      </c>
      <c r="F168" s="37">
        <v>146040.65299</v>
      </c>
      <c r="G168" s="37">
        <v>42.395240000000001</v>
      </c>
      <c r="H168" s="37">
        <v>0</v>
      </c>
      <c r="I168" s="37">
        <v>1675.99937</v>
      </c>
      <c r="J168" s="37">
        <v>0</v>
      </c>
    </row>
    <row r="169" spans="1:10" x14ac:dyDescent="0.2">
      <c r="A169" s="35" t="s">
        <v>305</v>
      </c>
      <c r="B169" s="36" t="s">
        <v>306</v>
      </c>
      <c r="C169" s="37">
        <v>7760.3</v>
      </c>
      <c r="D169" s="37">
        <v>7772.7</v>
      </c>
      <c r="E169" s="37">
        <v>7611.70316</v>
      </c>
      <c r="F169" s="37">
        <v>7426.7504400000007</v>
      </c>
      <c r="G169" s="37">
        <v>2.4950300000000003</v>
      </c>
      <c r="H169" s="37">
        <v>0</v>
      </c>
      <c r="I169" s="37">
        <v>303.66411999999997</v>
      </c>
      <c r="J169" s="37">
        <v>0</v>
      </c>
    </row>
    <row r="170" spans="1:10" x14ac:dyDescent="0.2">
      <c r="A170" s="35" t="s">
        <v>307</v>
      </c>
      <c r="B170" s="36" t="s">
        <v>308</v>
      </c>
      <c r="C170" s="37">
        <v>0</v>
      </c>
      <c r="D170" s="37">
        <v>123.2</v>
      </c>
      <c r="E170" s="37">
        <v>0</v>
      </c>
      <c r="F170" s="37">
        <v>0</v>
      </c>
      <c r="G170" s="37">
        <v>0</v>
      </c>
      <c r="H170" s="37">
        <v>0</v>
      </c>
      <c r="I170" s="37">
        <v>0</v>
      </c>
      <c r="J170" s="37">
        <v>0</v>
      </c>
    </row>
    <row r="171" spans="1:10" x14ac:dyDescent="0.2">
      <c r="A171" s="35" t="s">
        <v>307</v>
      </c>
      <c r="B171" s="36" t="s">
        <v>309</v>
      </c>
      <c r="C171" s="37">
        <v>1645541.6</v>
      </c>
      <c r="D171" s="37">
        <v>1851853.9480000001</v>
      </c>
      <c r="E171" s="37">
        <v>1843205.59788</v>
      </c>
      <c r="F171" s="37">
        <v>1843205.5988800002</v>
      </c>
      <c r="G171" s="37">
        <v>2661</v>
      </c>
      <c r="H171" s="37">
        <v>0</v>
      </c>
      <c r="I171" s="37">
        <v>1E-3</v>
      </c>
      <c r="J171" s="37">
        <v>0</v>
      </c>
    </row>
    <row r="172" spans="1:10" ht="25.5" x14ac:dyDescent="0.2">
      <c r="A172" s="35" t="s">
        <v>310</v>
      </c>
      <c r="B172" s="36" t="s">
        <v>311</v>
      </c>
      <c r="C172" s="37">
        <v>709.3</v>
      </c>
      <c r="D172" s="37">
        <v>725.2</v>
      </c>
      <c r="E172" s="37">
        <v>560.54140000000007</v>
      </c>
      <c r="F172" s="37">
        <v>505.62</v>
      </c>
      <c r="G172" s="37">
        <v>2.8421500000000002</v>
      </c>
      <c r="H172" s="37">
        <v>0</v>
      </c>
      <c r="I172" s="37">
        <v>2.5076000000000001</v>
      </c>
      <c r="J172" s="37">
        <v>0</v>
      </c>
    </row>
    <row r="173" spans="1:10" x14ac:dyDescent="0.2">
      <c r="A173" s="35" t="s">
        <v>312</v>
      </c>
      <c r="B173" s="36" t="s">
        <v>313</v>
      </c>
      <c r="C173" s="37">
        <f>361076.9+30</f>
        <v>361106.9</v>
      </c>
      <c r="D173" s="37">
        <v>368996.97048000002</v>
      </c>
      <c r="E173" s="37">
        <v>299105.19975999999</v>
      </c>
      <c r="F173" s="37">
        <v>294290.92319</v>
      </c>
      <c r="G173" s="37">
        <v>6916.3925399999998</v>
      </c>
      <c r="H173" s="37">
        <v>0</v>
      </c>
      <c r="I173" s="37">
        <v>45.838769999999997</v>
      </c>
      <c r="J173" s="37">
        <v>0</v>
      </c>
    </row>
    <row r="174" spans="1:10" x14ac:dyDescent="0.2">
      <c r="A174" s="35" t="s">
        <v>314</v>
      </c>
      <c r="B174" s="36" t="s">
        <v>315</v>
      </c>
      <c r="C174" s="37">
        <v>947303.4</v>
      </c>
      <c r="D174" s="37">
        <v>542425.19404999993</v>
      </c>
      <c r="E174" s="37">
        <v>278302.87738000002</v>
      </c>
      <c r="F174" s="37">
        <v>275170.45017000003</v>
      </c>
      <c r="G174" s="37">
        <v>0.28308</v>
      </c>
      <c r="H174" s="37">
        <v>0</v>
      </c>
      <c r="I174" s="37">
        <v>2869.1723299999999</v>
      </c>
      <c r="J174" s="37">
        <v>356.68099999999998</v>
      </c>
    </row>
    <row r="175" spans="1:10" ht="25.5" x14ac:dyDescent="0.2">
      <c r="A175" s="35" t="s">
        <v>316</v>
      </c>
      <c r="B175" s="36" t="s">
        <v>317</v>
      </c>
      <c r="C175" s="37">
        <v>117851</v>
      </c>
      <c r="D175" s="37">
        <v>50272</v>
      </c>
      <c r="E175" s="37">
        <v>7981.3518700000004</v>
      </c>
      <c r="F175" s="37">
        <v>8007.4863700000005</v>
      </c>
      <c r="G175" s="37">
        <v>0.28000000000000003</v>
      </c>
      <c r="H175" s="37">
        <v>0</v>
      </c>
      <c r="I175" s="37">
        <v>99.225700000000003</v>
      </c>
      <c r="J175" s="37">
        <v>0</v>
      </c>
    </row>
    <row r="176" spans="1:10" x14ac:dyDescent="0.2">
      <c r="A176" s="35" t="s">
        <v>318</v>
      </c>
      <c r="B176" s="36" t="s">
        <v>319</v>
      </c>
      <c r="C176" s="37">
        <v>829452.4</v>
      </c>
      <c r="D176" s="37">
        <v>492153.19404999999</v>
      </c>
      <c r="E176" s="37">
        <v>270321.52551000001</v>
      </c>
      <c r="F176" s="37">
        <v>267162.96380000003</v>
      </c>
      <c r="G176" s="37">
        <v>3.0800000000000003E-3</v>
      </c>
      <c r="H176" s="37">
        <v>0</v>
      </c>
      <c r="I176" s="37">
        <v>2769.9466299999999</v>
      </c>
      <c r="J176" s="37">
        <v>356.68099999999998</v>
      </c>
    </row>
    <row r="177" spans="1:22" x14ac:dyDescent="0.2">
      <c r="A177" s="35" t="s">
        <v>320</v>
      </c>
      <c r="B177" s="36" t="s">
        <v>321</v>
      </c>
      <c r="C177" s="37">
        <v>0</v>
      </c>
      <c r="D177" s="37">
        <v>0</v>
      </c>
      <c r="E177" s="37">
        <v>0</v>
      </c>
      <c r="F177" s="37">
        <v>6107949.5</v>
      </c>
      <c r="G177" s="37">
        <v>0</v>
      </c>
      <c r="H177" s="37">
        <v>0</v>
      </c>
      <c r="I177" s="37">
        <v>40.484000000000002</v>
      </c>
      <c r="J177" s="37">
        <v>32</v>
      </c>
    </row>
    <row r="178" spans="1:22" x14ac:dyDescent="0.2">
      <c r="A178" s="35" t="s">
        <v>322</v>
      </c>
      <c r="B178" s="36" t="s">
        <v>323</v>
      </c>
      <c r="C178" s="37">
        <v>0</v>
      </c>
      <c r="D178" s="37">
        <v>0</v>
      </c>
      <c r="E178" s="37">
        <v>0</v>
      </c>
      <c r="F178" s="37">
        <f>36155.96541+9.1</f>
        <v>36165.065409999996</v>
      </c>
      <c r="G178" s="37">
        <v>0</v>
      </c>
      <c r="H178" s="37">
        <v>0</v>
      </c>
      <c r="I178" s="37">
        <v>0</v>
      </c>
      <c r="J178" s="37">
        <v>0</v>
      </c>
    </row>
    <row r="179" spans="1:22" x14ac:dyDescent="0.2">
      <c r="A179" s="35" t="s">
        <v>324</v>
      </c>
      <c r="B179" s="36" t="s">
        <v>325</v>
      </c>
      <c r="C179" s="37">
        <v>0</v>
      </c>
      <c r="D179" s="37">
        <v>0</v>
      </c>
      <c r="E179" s="37">
        <v>0</v>
      </c>
      <c r="F179" s="37">
        <v>635206.9</v>
      </c>
      <c r="G179" s="37">
        <v>0</v>
      </c>
      <c r="H179" s="37">
        <v>0</v>
      </c>
      <c r="I179" s="37">
        <v>0</v>
      </c>
      <c r="J179" s="37">
        <v>0</v>
      </c>
    </row>
    <row r="180" spans="1:22" x14ac:dyDescent="0.2">
      <c r="A180" s="35" t="s">
        <v>326</v>
      </c>
      <c r="B180" s="36" t="s">
        <v>327</v>
      </c>
      <c r="C180" s="37">
        <v>0</v>
      </c>
      <c r="D180" s="37">
        <v>0</v>
      </c>
      <c r="E180" s="37">
        <v>0</v>
      </c>
      <c r="F180" s="37">
        <v>4944.9895199999992</v>
      </c>
      <c r="G180" s="37">
        <v>0</v>
      </c>
      <c r="H180" s="37">
        <v>0</v>
      </c>
      <c r="I180" s="37">
        <v>0</v>
      </c>
      <c r="J180" s="37">
        <v>0</v>
      </c>
    </row>
    <row r="181" spans="1:22" x14ac:dyDescent="0.2">
      <c r="A181" s="35" t="s">
        <v>328</v>
      </c>
      <c r="B181" s="36" t="s">
        <v>329</v>
      </c>
      <c r="C181" s="37">
        <v>0</v>
      </c>
      <c r="D181" s="37">
        <v>0</v>
      </c>
      <c r="E181" s="37">
        <v>0</v>
      </c>
      <c r="F181" s="37">
        <v>34735.032289999996</v>
      </c>
      <c r="G181" s="37">
        <v>0</v>
      </c>
      <c r="H181" s="37">
        <v>0</v>
      </c>
      <c r="I181" s="37">
        <v>0</v>
      </c>
      <c r="J181" s="37">
        <v>0</v>
      </c>
    </row>
    <row r="182" spans="1:22" x14ac:dyDescent="0.2">
      <c r="A182" s="35" t="s">
        <v>320</v>
      </c>
      <c r="B182" s="36" t="s">
        <v>330</v>
      </c>
      <c r="C182" s="37">
        <v>0</v>
      </c>
      <c r="D182" s="37">
        <v>0</v>
      </c>
      <c r="E182" s="37">
        <v>0</v>
      </c>
      <c r="F182" s="37">
        <f>5396362.86726+269.6+265</f>
        <v>5396897.4672599994</v>
      </c>
      <c r="G182" s="37">
        <v>0</v>
      </c>
      <c r="H182" s="37">
        <v>0</v>
      </c>
      <c r="I182" s="37">
        <v>40.484000000000002</v>
      </c>
      <c r="J182" s="37">
        <v>32</v>
      </c>
    </row>
    <row r="183" spans="1:22" s="20" customFormat="1" x14ac:dyDescent="0.2">
      <c r="A183" s="29" t="s">
        <v>331</v>
      </c>
      <c r="B183" s="30">
        <v>29</v>
      </c>
      <c r="C183" s="31">
        <f>C184</f>
        <v>119000</v>
      </c>
      <c r="D183" s="31">
        <f t="shared" ref="D183:J183" si="12">D184</f>
        <v>1117030.2339999999</v>
      </c>
      <c r="E183" s="31">
        <f t="shared" si="12"/>
        <v>885778.55053999997</v>
      </c>
      <c r="F183" s="31">
        <f t="shared" si="12"/>
        <v>885778.55053999997</v>
      </c>
      <c r="G183" s="31">
        <f t="shared" si="12"/>
        <v>0</v>
      </c>
      <c r="H183" s="31">
        <f t="shared" si="12"/>
        <v>0</v>
      </c>
      <c r="I183" s="31">
        <f t="shared" si="12"/>
        <v>0</v>
      </c>
      <c r="J183" s="31">
        <f t="shared" si="12"/>
        <v>0</v>
      </c>
    </row>
    <row r="184" spans="1:22" x14ac:dyDescent="0.2">
      <c r="A184" s="35" t="s">
        <v>332</v>
      </c>
      <c r="B184" s="36" t="s">
        <v>333</v>
      </c>
      <c r="C184" s="37">
        <v>119000</v>
      </c>
      <c r="D184" s="37">
        <v>1117030.2339999999</v>
      </c>
      <c r="E184" s="37">
        <v>885778.55053999997</v>
      </c>
      <c r="F184" s="37">
        <v>885778.55053999997</v>
      </c>
      <c r="G184" s="37">
        <v>0</v>
      </c>
      <c r="H184" s="37">
        <v>0</v>
      </c>
      <c r="I184" s="37">
        <v>0</v>
      </c>
      <c r="J184" s="37">
        <v>0</v>
      </c>
    </row>
    <row r="185" spans="1:22" ht="38.25" x14ac:dyDescent="0.2">
      <c r="A185" s="35" t="s">
        <v>334</v>
      </c>
      <c r="B185" s="36" t="s">
        <v>335</v>
      </c>
      <c r="C185" s="37">
        <v>119000</v>
      </c>
      <c r="D185" s="37">
        <v>255122.16500000001</v>
      </c>
      <c r="E185" s="37">
        <v>241131.99492</v>
      </c>
      <c r="F185" s="37">
        <v>241131.99492</v>
      </c>
      <c r="G185" s="37">
        <v>0</v>
      </c>
      <c r="H185" s="37">
        <v>0</v>
      </c>
      <c r="I185" s="37">
        <v>0</v>
      </c>
      <c r="J185" s="37">
        <v>0</v>
      </c>
    </row>
    <row r="186" spans="1:22" ht="38.25" x14ac:dyDescent="0.2">
      <c r="A186" s="35" t="s">
        <v>336</v>
      </c>
      <c r="B186" s="36" t="s">
        <v>337</v>
      </c>
      <c r="C186" s="37">
        <v>0</v>
      </c>
      <c r="D186" s="37">
        <v>39008.098239999999</v>
      </c>
      <c r="E186" s="37">
        <v>28127.609</v>
      </c>
      <c r="F186" s="37">
        <v>28127.609</v>
      </c>
      <c r="G186" s="37">
        <v>0</v>
      </c>
      <c r="H186" s="37">
        <v>0</v>
      </c>
      <c r="I186" s="37">
        <v>0</v>
      </c>
      <c r="J186" s="37">
        <v>0</v>
      </c>
    </row>
    <row r="187" spans="1:22" ht="38.25" x14ac:dyDescent="0.2">
      <c r="A187" s="35" t="s">
        <v>338</v>
      </c>
      <c r="B187" s="36" t="s">
        <v>339</v>
      </c>
      <c r="C187" s="37">
        <v>0</v>
      </c>
      <c r="D187" s="37">
        <v>822899.97075999994</v>
      </c>
      <c r="E187" s="37">
        <v>616518.94662000006</v>
      </c>
      <c r="F187" s="37">
        <v>616518.94662000006</v>
      </c>
      <c r="G187" s="37">
        <v>0</v>
      </c>
      <c r="H187" s="37">
        <v>0</v>
      </c>
      <c r="I187" s="37">
        <v>0</v>
      </c>
      <c r="J187" s="37">
        <v>0</v>
      </c>
    </row>
    <row r="188" spans="1:22" x14ac:dyDescent="0.2">
      <c r="A188" s="29" t="s">
        <v>340</v>
      </c>
      <c r="B188" s="30">
        <v>3</v>
      </c>
      <c r="C188" s="31">
        <f>5567860.8+[1]SPPS!C102</f>
        <v>5587438.0999999996</v>
      </c>
      <c r="D188" s="31">
        <f>6468493.18991+[1]SPPS!D102</f>
        <v>6484381.7899099998</v>
      </c>
      <c r="E188" s="31">
        <f>4818534.60594+[1]SPPS!E102</f>
        <v>4833617.8259399999</v>
      </c>
      <c r="F188" s="31">
        <v>0</v>
      </c>
      <c r="G188" s="31">
        <f>615599.56103+[1]SPPS!G102</f>
        <v>615602.66102999996</v>
      </c>
      <c r="H188" s="31">
        <v>9100.3024299999997</v>
      </c>
      <c r="I188" s="31">
        <v>413277.17544999998</v>
      </c>
      <c r="J188" s="31">
        <v>0.81940000000000002</v>
      </c>
      <c r="L188" s="32"/>
      <c r="M188" s="32"/>
      <c r="N188" s="32"/>
      <c r="O188" s="32"/>
      <c r="P188" s="32"/>
      <c r="Q188" s="32"/>
      <c r="R188" s="32"/>
      <c r="S188" s="32"/>
      <c r="T188" s="32"/>
      <c r="U188" s="32"/>
    </row>
    <row r="189" spans="1:22" x14ac:dyDescent="0.2">
      <c r="A189" s="29" t="s">
        <v>341</v>
      </c>
      <c r="B189" s="30">
        <v>31</v>
      </c>
      <c r="C189" s="31">
        <f>C190+C193+C196+C199+C202+C206+C209+C212+C215</f>
        <v>4088859.9000000004</v>
      </c>
      <c r="D189" s="31">
        <f t="shared" ref="D189:J189" si="13">D190+D193+D196+D199+D202+D206+D209+D212+D215</f>
        <v>4846311.6249000002</v>
      </c>
      <c r="E189" s="31">
        <f t="shared" si="13"/>
        <v>3315781.2552700001</v>
      </c>
      <c r="F189" s="31">
        <f t="shared" si="13"/>
        <v>0</v>
      </c>
      <c r="G189" s="31">
        <f t="shared" si="13"/>
        <v>543783.06640000001</v>
      </c>
      <c r="H189" s="31">
        <f t="shared" si="13"/>
        <v>9100.2999500000005</v>
      </c>
      <c r="I189" s="31">
        <f t="shared" si="13"/>
        <v>304712.90393999999</v>
      </c>
      <c r="J189" s="31">
        <f t="shared" si="13"/>
        <v>0.81940000000000002</v>
      </c>
      <c r="L189" s="32"/>
      <c r="M189" s="32"/>
      <c r="N189" s="32"/>
      <c r="O189" s="32"/>
      <c r="P189" s="32"/>
      <c r="Q189" s="32"/>
      <c r="R189" s="32"/>
      <c r="S189" s="32"/>
      <c r="T189" s="32"/>
      <c r="U189" s="32"/>
    </row>
    <row r="190" spans="1:22" x14ac:dyDescent="0.2">
      <c r="A190" s="35" t="s">
        <v>342</v>
      </c>
      <c r="B190" s="36" t="s">
        <v>343</v>
      </c>
      <c r="C190" s="37">
        <f>348476.6+[1]SPPS!C104</f>
        <v>350726.6</v>
      </c>
      <c r="D190" s="37">
        <f>527271.83706+[1]SPPS!D104</f>
        <v>527554.54706000001</v>
      </c>
      <c r="E190" s="37">
        <f>372490.88668+[1]SPPS!E104</f>
        <v>372773.59668000002</v>
      </c>
      <c r="F190" s="37">
        <v>0</v>
      </c>
      <c r="G190" s="37">
        <f>14947.06751</f>
        <v>14947.067510000001</v>
      </c>
      <c r="H190" s="37">
        <v>4800</v>
      </c>
      <c r="I190" s="37">
        <v>2561.9616499999997</v>
      </c>
      <c r="J190" s="37">
        <v>0</v>
      </c>
    </row>
    <row r="191" spans="1:22" x14ac:dyDescent="0.2">
      <c r="A191" s="35" t="s">
        <v>344</v>
      </c>
      <c r="B191" s="36" t="s">
        <v>345</v>
      </c>
      <c r="C191" s="37">
        <f>11335</f>
        <v>11335</v>
      </c>
      <c r="D191" s="37">
        <v>170239.8</v>
      </c>
      <c r="E191" s="37">
        <v>154620.64871000001</v>
      </c>
      <c r="F191" s="37">
        <v>0</v>
      </c>
      <c r="G191" s="37">
        <v>0</v>
      </c>
      <c r="H191" s="37">
        <v>0</v>
      </c>
      <c r="I191" s="37">
        <v>0</v>
      </c>
      <c r="J191" s="37">
        <v>0</v>
      </c>
    </row>
    <row r="192" spans="1:22" x14ac:dyDescent="0.2">
      <c r="A192" s="35" t="s">
        <v>346</v>
      </c>
      <c r="B192" s="36" t="s">
        <v>347</v>
      </c>
      <c r="C192" s="37">
        <f>337141.6+[1]SPPS!C105</f>
        <v>339391.6</v>
      </c>
      <c r="D192" s="37">
        <f>357032.03706+[1]SPPS!D105</f>
        <v>357314.74706000002</v>
      </c>
      <c r="E192" s="37">
        <f>217870.23797+[1]SPPS!E105</f>
        <v>218152.94796999998</v>
      </c>
      <c r="F192" s="37">
        <v>0</v>
      </c>
      <c r="G192" s="37">
        <v>14947.067509999999</v>
      </c>
      <c r="H192" s="37">
        <v>4800</v>
      </c>
      <c r="I192" s="37">
        <v>2561.9616499999997</v>
      </c>
      <c r="J192" s="37">
        <v>0</v>
      </c>
      <c r="M192" s="32"/>
      <c r="N192" s="32"/>
      <c r="O192" s="32"/>
      <c r="P192" s="32"/>
      <c r="Q192" s="32"/>
      <c r="R192" s="32"/>
      <c r="S192" s="32"/>
      <c r="T192" s="32"/>
      <c r="U192" s="32"/>
      <c r="V192" s="32"/>
    </row>
    <row r="193" spans="1:10" x14ac:dyDescent="0.2">
      <c r="A193" s="35" t="s">
        <v>348</v>
      </c>
      <c r="B193" s="36" t="s">
        <v>349</v>
      </c>
      <c r="C193" s="37">
        <v>68860.600000000006</v>
      </c>
      <c r="D193" s="37">
        <v>91167.808250000002</v>
      </c>
      <c r="E193" s="37">
        <v>90523.129700000005</v>
      </c>
      <c r="F193" s="37">
        <v>0</v>
      </c>
      <c r="G193" s="37">
        <v>37.621550000000006</v>
      </c>
      <c r="H193" s="37">
        <v>0</v>
      </c>
      <c r="I193" s="37">
        <v>2679.0441700000001</v>
      </c>
      <c r="J193" s="37">
        <v>0</v>
      </c>
    </row>
    <row r="194" spans="1:10" x14ac:dyDescent="0.2">
      <c r="A194" s="35" t="s">
        <v>350</v>
      </c>
      <c r="B194" s="36" t="s">
        <v>351</v>
      </c>
      <c r="C194" s="37">
        <v>1220</v>
      </c>
      <c r="D194" s="37">
        <v>14175.49865</v>
      </c>
      <c r="E194" s="37">
        <v>13563.305859999999</v>
      </c>
      <c r="F194" s="37">
        <v>0</v>
      </c>
      <c r="G194" s="37">
        <v>37.271550000000005</v>
      </c>
      <c r="H194" s="37">
        <v>0</v>
      </c>
      <c r="I194" s="37">
        <v>0</v>
      </c>
      <c r="J194" s="37">
        <v>0</v>
      </c>
    </row>
    <row r="195" spans="1:10" x14ac:dyDescent="0.2">
      <c r="A195" s="35" t="s">
        <v>352</v>
      </c>
      <c r="B195" s="36" t="s">
        <v>353</v>
      </c>
      <c r="C195" s="37">
        <v>67640.600000000006</v>
      </c>
      <c r="D195" s="37">
        <v>76992.309599999993</v>
      </c>
      <c r="E195" s="37">
        <v>76959.823839999997</v>
      </c>
      <c r="F195" s="37">
        <v>0</v>
      </c>
      <c r="G195" s="37">
        <v>0.35</v>
      </c>
      <c r="H195" s="37">
        <v>0</v>
      </c>
      <c r="I195" s="37">
        <v>2679.0441700000001</v>
      </c>
      <c r="J195" s="37">
        <v>0</v>
      </c>
    </row>
    <row r="196" spans="1:10" x14ac:dyDescent="0.2">
      <c r="A196" s="35" t="s">
        <v>354</v>
      </c>
      <c r="B196" s="36" t="s">
        <v>355</v>
      </c>
      <c r="C196" s="37">
        <v>1196</v>
      </c>
      <c r="D196" s="37">
        <v>2831.7422099999999</v>
      </c>
      <c r="E196" s="37">
        <v>2826.5608500000003</v>
      </c>
      <c r="F196" s="37">
        <v>0</v>
      </c>
      <c r="G196" s="37">
        <v>0</v>
      </c>
      <c r="H196" s="37">
        <v>0</v>
      </c>
      <c r="I196" s="37">
        <v>0</v>
      </c>
      <c r="J196" s="37">
        <v>0</v>
      </c>
    </row>
    <row r="197" spans="1:10" x14ac:dyDescent="0.2">
      <c r="A197" s="35" t="s">
        <v>356</v>
      </c>
      <c r="B197" s="36" t="s">
        <v>357</v>
      </c>
      <c r="C197" s="37">
        <v>736</v>
      </c>
      <c r="D197" s="37">
        <v>1560.36555</v>
      </c>
      <c r="E197" s="37">
        <v>1556.3091299999999</v>
      </c>
      <c r="F197" s="37">
        <v>0</v>
      </c>
      <c r="G197" s="37">
        <v>0</v>
      </c>
      <c r="H197" s="37">
        <v>0</v>
      </c>
      <c r="I197" s="37">
        <v>0</v>
      </c>
      <c r="J197" s="37">
        <v>0</v>
      </c>
    </row>
    <row r="198" spans="1:10" x14ac:dyDescent="0.2">
      <c r="A198" s="35" t="s">
        <v>358</v>
      </c>
      <c r="B198" s="36" t="s">
        <v>359</v>
      </c>
      <c r="C198" s="37">
        <v>460</v>
      </c>
      <c r="D198" s="37">
        <v>1271.3766599999999</v>
      </c>
      <c r="E198" s="37">
        <v>1270.25172</v>
      </c>
      <c r="F198" s="37">
        <v>0</v>
      </c>
      <c r="G198" s="37">
        <v>0</v>
      </c>
      <c r="H198" s="37">
        <v>0</v>
      </c>
      <c r="I198" s="37">
        <v>0</v>
      </c>
      <c r="J198" s="37">
        <v>0</v>
      </c>
    </row>
    <row r="199" spans="1:10" x14ac:dyDescent="0.2">
      <c r="A199" s="35" t="s">
        <v>360</v>
      </c>
      <c r="B199" s="36" t="s">
        <v>361</v>
      </c>
      <c r="C199" s="37">
        <f>605819.7+[1]SPPS!C106</f>
        <v>611412.19999999995</v>
      </c>
      <c r="D199" s="37">
        <f>754123.06809+[1]SPPS!D106</f>
        <v>757621.12809000001</v>
      </c>
      <c r="E199" s="37">
        <f>429269.1798+[1]SPPS!E106</f>
        <v>432057.47979999997</v>
      </c>
      <c r="F199" s="37">
        <v>0</v>
      </c>
      <c r="G199" s="37">
        <v>78501.655910000001</v>
      </c>
      <c r="H199" s="37">
        <v>1100.0009499999999</v>
      </c>
      <c r="I199" s="37">
        <v>12335.266609999999</v>
      </c>
      <c r="J199" s="37">
        <v>0.81940000000000002</v>
      </c>
    </row>
    <row r="200" spans="1:10" x14ac:dyDescent="0.2">
      <c r="A200" s="35" t="s">
        <v>362</v>
      </c>
      <c r="B200" s="36" t="s">
        <v>363</v>
      </c>
      <c r="C200" s="37">
        <f>605286.9+5592.5</f>
        <v>610879.4</v>
      </c>
      <c r="D200" s="37">
        <f>753739.90728+3498.1</f>
        <v>757238.00728000002</v>
      </c>
      <c r="E200" s="37">
        <f>429061.01399+2788.3</f>
        <v>431849.31399</v>
      </c>
      <c r="F200" s="37">
        <v>0</v>
      </c>
      <c r="G200" s="37">
        <v>78501.655910000001</v>
      </c>
      <c r="H200" s="37">
        <v>1100.0009499999999</v>
      </c>
      <c r="I200" s="37">
        <v>12335.266609999999</v>
      </c>
      <c r="J200" s="37">
        <v>0.81940000000000002</v>
      </c>
    </row>
    <row r="201" spans="1:10" x14ac:dyDescent="0.2">
      <c r="A201" s="35" t="s">
        <v>364</v>
      </c>
      <c r="B201" s="36" t="s">
        <v>365</v>
      </c>
      <c r="C201" s="37">
        <v>532.79999999999995</v>
      </c>
      <c r="D201" s="37">
        <v>383.16080999999997</v>
      </c>
      <c r="E201" s="37">
        <v>208.16580999999999</v>
      </c>
      <c r="F201" s="37">
        <v>0</v>
      </c>
      <c r="G201" s="37">
        <v>0</v>
      </c>
      <c r="H201" s="37">
        <v>0</v>
      </c>
      <c r="I201" s="37">
        <v>0</v>
      </c>
      <c r="J201" s="37">
        <v>0</v>
      </c>
    </row>
    <row r="202" spans="1:10" x14ac:dyDescent="0.2">
      <c r="A202" s="35" t="s">
        <v>366</v>
      </c>
      <c r="B202" s="36" t="s">
        <v>367</v>
      </c>
      <c r="C202" s="37">
        <f>33639+[1]SPPS!C108</f>
        <v>36639</v>
      </c>
      <c r="D202" s="37">
        <f>59575.3458899999+[1]SPPS!D108</f>
        <v>63250.465889999905</v>
      </c>
      <c r="E202" s="37">
        <f>43691.85219+[1]SPPS!E108</f>
        <v>47366.97219</v>
      </c>
      <c r="F202" s="37">
        <v>0</v>
      </c>
      <c r="G202" s="37">
        <v>187.29501999999999</v>
      </c>
      <c r="H202" s="37">
        <v>0</v>
      </c>
      <c r="I202" s="37">
        <v>12305.140300000001</v>
      </c>
      <c r="J202" s="37">
        <v>0</v>
      </c>
    </row>
    <row r="203" spans="1:10" x14ac:dyDescent="0.2">
      <c r="A203" s="35" t="s">
        <v>368</v>
      </c>
      <c r="B203" s="36" t="s">
        <v>369</v>
      </c>
      <c r="C203" s="37">
        <f>33467.2+[1]SPPS!C109</f>
        <v>36467.199999999997</v>
      </c>
      <c r="D203" s="37">
        <f>57763.07789+[1]SPPS!D109</f>
        <v>61438.197890000003</v>
      </c>
      <c r="E203" s="37">
        <f>42944.51909+[1]SPPS!E109</f>
        <v>46619.639090000004</v>
      </c>
      <c r="F203" s="37">
        <v>0</v>
      </c>
      <c r="G203" s="37">
        <v>54.723050000000001</v>
      </c>
      <c r="H203" s="37">
        <v>0</v>
      </c>
      <c r="I203" s="37">
        <v>12305.140300000001</v>
      </c>
      <c r="J203" s="37">
        <v>0</v>
      </c>
    </row>
    <row r="204" spans="1:10" x14ac:dyDescent="0.2">
      <c r="A204" s="35" t="s">
        <v>370</v>
      </c>
      <c r="B204" s="36" t="s">
        <v>371</v>
      </c>
      <c r="C204" s="37">
        <v>171.8</v>
      </c>
      <c r="D204" s="37">
        <v>1812.268</v>
      </c>
      <c r="E204" s="37">
        <v>747.33309999999994</v>
      </c>
      <c r="F204" s="37">
        <v>0</v>
      </c>
      <c r="G204" s="37">
        <v>4.7319700000000005</v>
      </c>
      <c r="H204" s="37">
        <v>0</v>
      </c>
      <c r="I204" s="37">
        <v>0</v>
      </c>
      <c r="J204" s="37">
        <v>0</v>
      </c>
    </row>
    <row r="205" spans="1:10" x14ac:dyDescent="0.2">
      <c r="A205" s="35" t="s">
        <v>372</v>
      </c>
      <c r="B205" s="36" t="s">
        <v>373</v>
      </c>
      <c r="C205" s="37">
        <v>0</v>
      </c>
      <c r="D205" s="37">
        <v>0</v>
      </c>
      <c r="E205" s="37">
        <v>0</v>
      </c>
      <c r="F205" s="37">
        <v>0</v>
      </c>
      <c r="G205" s="37">
        <v>127.84</v>
      </c>
      <c r="H205" s="37">
        <v>0</v>
      </c>
      <c r="I205" s="37">
        <v>0</v>
      </c>
      <c r="J205" s="37">
        <v>0</v>
      </c>
    </row>
    <row r="206" spans="1:10" ht="15" customHeight="1" x14ac:dyDescent="0.2">
      <c r="A206" s="35" t="s">
        <v>374</v>
      </c>
      <c r="B206" s="36" t="s">
        <v>375</v>
      </c>
      <c r="C206" s="37">
        <f>53495.4+[1]SPPS!C110</f>
        <v>53760.6</v>
      </c>
      <c r="D206" s="37">
        <f>63762.38562+279.9</f>
        <v>64042.285620000002</v>
      </c>
      <c r="E206" s="37">
        <f>51820.52901+274.2</f>
        <v>52094.729009999995</v>
      </c>
      <c r="F206" s="37">
        <v>0</v>
      </c>
      <c r="G206" s="37">
        <v>2100.88042</v>
      </c>
      <c r="H206" s="37">
        <v>500.29899999999998</v>
      </c>
      <c r="I206" s="37">
        <v>554.95699999999999</v>
      </c>
      <c r="J206" s="37">
        <v>0</v>
      </c>
    </row>
    <row r="207" spans="1:10" ht="25.5" x14ac:dyDescent="0.2">
      <c r="A207" s="35" t="s">
        <v>376</v>
      </c>
      <c r="B207" s="36" t="s">
        <v>377</v>
      </c>
      <c r="C207" s="37">
        <f>53339.3+265.2</f>
        <v>53604.5</v>
      </c>
      <c r="D207" s="37">
        <f>63669.38562+279.9</f>
        <v>63949.285620000002</v>
      </c>
      <c r="E207" s="37">
        <f>51820.52901+274.2</f>
        <v>52094.729009999995</v>
      </c>
      <c r="F207" s="37">
        <v>0</v>
      </c>
      <c r="G207" s="37">
        <v>2100.88042</v>
      </c>
      <c r="H207" s="37">
        <v>500.29899999999998</v>
      </c>
      <c r="I207" s="37">
        <v>554.95699999999999</v>
      </c>
      <c r="J207" s="37">
        <v>0</v>
      </c>
    </row>
    <row r="208" spans="1:10" ht="25.5" x14ac:dyDescent="0.2">
      <c r="A208" s="35" t="s">
        <v>378</v>
      </c>
      <c r="B208" s="36" t="s">
        <v>379</v>
      </c>
      <c r="C208" s="37">
        <v>156.1</v>
      </c>
      <c r="D208" s="37">
        <v>93</v>
      </c>
      <c r="E208" s="37">
        <v>0</v>
      </c>
      <c r="F208" s="37">
        <v>0</v>
      </c>
      <c r="G208" s="37">
        <v>0</v>
      </c>
      <c r="H208" s="37">
        <v>0</v>
      </c>
      <c r="I208" s="37">
        <v>0</v>
      </c>
      <c r="J208" s="37">
        <v>0</v>
      </c>
    </row>
    <row r="209" spans="1:21" x14ac:dyDescent="0.2">
      <c r="A209" s="35" t="s">
        <v>380</v>
      </c>
      <c r="B209" s="36" t="s">
        <v>381</v>
      </c>
      <c r="C209" s="37">
        <f>210714.5+60</f>
        <v>210774.5</v>
      </c>
      <c r="D209" s="37">
        <f>121732.89768+334.7</f>
        <v>122067.59767999999</v>
      </c>
      <c r="E209" s="37">
        <f>61993.85042+334.4</f>
        <v>62328.250420000004</v>
      </c>
      <c r="F209" s="37">
        <v>0</v>
      </c>
      <c r="G209" s="37">
        <v>4927.3963200000007</v>
      </c>
      <c r="H209" s="37">
        <v>2700</v>
      </c>
      <c r="I209" s="37">
        <v>44.732839999999996</v>
      </c>
      <c r="J209" s="37">
        <v>0</v>
      </c>
    </row>
    <row r="210" spans="1:21" x14ac:dyDescent="0.2">
      <c r="A210" s="35" t="s">
        <v>382</v>
      </c>
      <c r="B210" s="36" t="s">
        <v>383</v>
      </c>
      <c r="C210" s="37">
        <f>210714.5+60</f>
        <v>210774.5</v>
      </c>
      <c r="D210" s="37">
        <f>111029.89768+334.7</f>
        <v>111364.59767999999</v>
      </c>
      <c r="E210" s="37">
        <f>57097.33373+334.4</f>
        <v>57431.73373</v>
      </c>
      <c r="F210" s="37">
        <v>0</v>
      </c>
      <c r="G210" s="37">
        <v>4927.3963200000007</v>
      </c>
      <c r="H210" s="37">
        <v>2700</v>
      </c>
      <c r="I210" s="37">
        <v>44.732839999999996</v>
      </c>
      <c r="J210" s="37">
        <v>0</v>
      </c>
    </row>
    <row r="211" spans="1:21" x14ac:dyDescent="0.2">
      <c r="A211" s="35" t="s">
        <v>384</v>
      </c>
      <c r="B211" s="36" t="s">
        <v>385</v>
      </c>
      <c r="C211" s="37">
        <v>0</v>
      </c>
      <c r="D211" s="37">
        <v>10703</v>
      </c>
      <c r="E211" s="37">
        <v>4896.5166900000004</v>
      </c>
      <c r="F211" s="37">
        <v>0</v>
      </c>
      <c r="G211" s="37">
        <v>0</v>
      </c>
      <c r="H211" s="37">
        <v>0</v>
      </c>
      <c r="I211" s="37">
        <v>0</v>
      </c>
      <c r="J211" s="37">
        <v>0</v>
      </c>
    </row>
    <row r="212" spans="1:21" x14ac:dyDescent="0.2">
      <c r="A212" s="35" t="s">
        <v>386</v>
      </c>
      <c r="B212" s="36" t="s">
        <v>387</v>
      </c>
      <c r="C212" s="37">
        <v>92659.8</v>
      </c>
      <c r="D212" s="37">
        <v>36204.650099999999</v>
      </c>
      <c r="E212" s="37">
        <v>14801.722029999999</v>
      </c>
      <c r="F212" s="37">
        <v>0</v>
      </c>
      <c r="G212" s="37">
        <v>48.776800000000001</v>
      </c>
      <c r="H212" s="37">
        <v>0</v>
      </c>
      <c r="I212" s="37">
        <v>8.8005499999999994</v>
      </c>
      <c r="J212" s="37">
        <v>0</v>
      </c>
    </row>
    <row r="213" spans="1:21" x14ac:dyDescent="0.2">
      <c r="A213" s="35" t="s">
        <v>388</v>
      </c>
      <c r="B213" s="36" t="s">
        <v>389</v>
      </c>
      <c r="C213" s="37">
        <v>92559.8</v>
      </c>
      <c r="D213" s="37">
        <v>36204.650099999999</v>
      </c>
      <c r="E213" s="37">
        <v>14801.722029999999</v>
      </c>
      <c r="F213" s="37">
        <v>0</v>
      </c>
      <c r="G213" s="37">
        <v>48.776800000000001</v>
      </c>
      <c r="H213" s="37">
        <v>0</v>
      </c>
      <c r="I213" s="37">
        <v>8.8005499999999994</v>
      </c>
      <c r="J213" s="37">
        <v>0</v>
      </c>
    </row>
    <row r="214" spans="1:21" x14ac:dyDescent="0.2">
      <c r="A214" s="35" t="s">
        <v>390</v>
      </c>
      <c r="B214" s="36" t="s">
        <v>391</v>
      </c>
      <c r="C214" s="37">
        <v>100</v>
      </c>
      <c r="D214" s="37">
        <v>0</v>
      </c>
      <c r="E214" s="37">
        <v>0</v>
      </c>
      <c r="F214" s="37">
        <v>0</v>
      </c>
      <c r="G214" s="37">
        <v>0</v>
      </c>
      <c r="H214" s="37">
        <v>0</v>
      </c>
      <c r="I214" s="37">
        <v>0</v>
      </c>
      <c r="J214" s="37">
        <v>0</v>
      </c>
    </row>
    <row r="215" spans="1:21" x14ac:dyDescent="0.2">
      <c r="A215" s="35" t="s">
        <v>392</v>
      </c>
      <c r="B215" s="36" t="s">
        <v>393</v>
      </c>
      <c r="C215" s="37">
        <v>2662830.6</v>
      </c>
      <c r="D215" s="37">
        <v>3181571.4</v>
      </c>
      <c r="E215" s="37">
        <v>2241008.8145900001</v>
      </c>
      <c r="F215" s="37">
        <v>0</v>
      </c>
      <c r="G215" s="37">
        <v>443032.37287000002</v>
      </c>
      <c r="H215" s="37">
        <v>0</v>
      </c>
      <c r="I215" s="37">
        <v>274223.00082000002</v>
      </c>
      <c r="J215" s="37">
        <v>0</v>
      </c>
    </row>
    <row r="216" spans="1:21" x14ac:dyDescent="0.2">
      <c r="A216" s="35" t="s">
        <v>394</v>
      </c>
      <c r="B216" s="36" t="s">
        <v>395</v>
      </c>
      <c r="C216" s="37">
        <v>9136.2999999999993</v>
      </c>
      <c r="D216" s="37">
        <v>5419.1</v>
      </c>
      <c r="E216" s="37">
        <v>4483.8177900000001</v>
      </c>
      <c r="F216" s="37">
        <v>0</v>
      </c>
      <c r="G216" s="37">
        <v>0</v>
      </c>
      <c r="H216" s="37">
        <v>0</v>
      </c>
      <c r="I216" s="37">
        <v>0</v>
      </c>
      <c r="J216" s="37">
        <v>0</v>
      </c>
    </row>
    <row r="217" spans="1:21" x14ac:dyDescent="0.2">
      <c r="A217" s="35" t="s">
        <v>396</v>
      </c>
      <c r="B217" s="36" t="s">
        <v>397</v>
      </c>
      <c r="C217" s="37">
        <v>507426.9</v>
      </c>
      <c r="D217" s="37">
        <v>357381.41700000002</v>
      </c>
      <c r="E217" s="37">
        <v>191913.40188999998</v>
      </c>
      <c r="F217" s="37">
        <v>0</v>
      </c>
      <c r="G217" s="37">
        <v>1891.6051399999999</v>
      </c>
      <c r="H217" s="37">
        <v>0</v>
      </c>
      <c r="I217" s="37">
        <v>4446.7412100000001</v>
      </c>
      <c r="J217" s="37">
        <v>0</v>
      </c>
    </row>
    <row r="218" spans="1:21" x14ac:dyDescent="0.2">
      <c r="A218" s="35" t="s">
        <v>398</v>
      </c>
      <c r="B218" s="36" t="s">
        <v>399</v>
      </c>
      <c r="C218" s="37">
        <v>1962272</v>
      </c>
      <c r="D218" s="37">
        <v>2721463.3760000002</v>
      </c>
      <c r="E218" s="37">
        <v>2004623.95762</v>
      </c>
      <c r="F218" s="37">
        <v>0</v>
      </c>
      <c r="G218" s="37">
        <v>439066.05599999998</v>
      </c>
      <c r="H218" s="37">
        <v>0</v>
      </c>
      <c r="I218" s="37">
        <v>266540.10644</v>
      </c>
      <c r="J218" s="37">
        <v>0</v>
      </c>
    </row>
    <row r="219" spans="1:21" x14ac:dyDescent="0.2">
      <c r="A219" s="35" t="s">
        <v>400</v>
      </c>
      <c r="B219" s="36" t="s">
        <v>401</v>
      </c>
      <c r="C219" s="37">
        <v>69598.7</v>
      </c>
      <c r="D219" s="37">
        <v>62868.7</v>
      </c>
      <c r="E219" s="37">
        <v>28751.94112</v>
      </c>
      <c r="F219" s="37">
        <v>0</v>
      </c>
      <c r="G219" s="37">
        <v>2060.7867299999998</v>
      </c>
      <c r="H219" s="37">
        <v>0</v>
      </c>
      <c r="I219" s="37">
        <v>3236.15317</v>
      </c>
      <c r="J219" s="37">
        <v>0</v>
      </c>
    </row>
    <row r="220" spans="1:21" x14ac:dyDescent="0.2">
      <c r="A220" s="35" t="s">
        <v>402</v>
      </c>
      <c r="B220" s="36" t="s">
        <v>403</v>
      </c>
      <c r="C220" s="37">
        <v>97076.7</v>
      </c>
      <c r="D220" s="37">
        <v>18118.807000000001</v>
      </c>
      <c r="E220" s="37">
        <v>7795.0642800000005</v>
      </c>
      <c r="F220" s="37">
        <v>0</v>
      </c>
      <c r="G220" s="37">
        <v>13.925000000000001</v>
      </c>
      <c r="H220" s="37">
        <v>0</v>
      </c>
      <c r="I220" s="37">
        <v>0</v>
      </c>
      <c r="J220" s="37">
        <v>0</v>
      </c>
    </row>
    <row r="221" spans="1:21" x14ac:dyDescent="0.2">
      <c r="A221" s="35" t="s">
        <v>404</v>
      </c>
      <c r="B221" s="36" t="s">
        <v>405</v>
      </c>
      <c r="C221" s="37">
        <v>17320</v>
      </c>
      <c r="D221" s="37">
        <v>16320</v>
      </c>
      <c r="E221" s="37">
        <v>3440.6318900000001</v>
      </c>
      <c r="F221" s="37">
        <v>0</v>
      </c>
      <c r="G221" s="37">
        <v>0</v>
      </c>
      <c r="H221" s="37">
        <v>0</v>
      </c>
      <c r="I221" s="37">
        <v>0</v>
      </c>
      <c r="J221" s="37">
        <v>0</v>
      </c>
    </row>
    <row r="222" spans="1:21" s="20" customFormat="1" x14ac:dyDescent="0.2">
      <c r="A222" s="29" t="s">
        <v>406</v>
      </c>
      <c r="B222" s="30">
        <v>33</v>
      </c>
      <c r="C222" s="31">
        <f>C223+C225+C227+C229+C231+C233+C235+C237+C242</f>
        <v>1484968.9</v>
      </c>
      <c r="D222" s="31">
        <f t="shared" ref="D222:J222" si="14">D223+D225+D227+D229+D231+D233+D235+D237+D242</f>
        <v>1625214.4214999999</v>
      </c>
      <c r="E222" s="31">
        <f t="shared" si="14"/>
        <v>1513081.6153299999</v>
      </c>
      <c r="F222" s="31">
        <f t="shared" si="14"/>
        <v>0</v>
      </c>
      <c r="G222" s="31">
        <f t="shared" si="14"/>
        <v>68130.215779999999</v>
      </c>
      <c r="H222" s="31">
        <f t="shared" si="14"/>
        <v>2.48E-3</v>
      </c>
      <c r="I222" s="31">
        <f t="shared" si="14"/>
        <v>108468.22568</v>
      </c>
      <c r="J222" s="31">
        <f t="shared" si="14"/>
        <v>0</v>
      </c>
      <c r="M222" s="39"/>
      <c r="N222" s="39"/>
      <c r="O222" s="39"/>
      <c r="P222" s="39"/>
      <c r="Q222" s="39"/>
      <c r="R222" s="39"/>
      <c r="S222" s="39"/>
      <c r="T222" s="39"/>
      <c r="U222" s="39"/>
    </row>
    <row r="223" spans="1:21" x14ac:dyDescent="0.2">
      <c r="A223" s="35" t="s">
        <v>407</v>
      </c>
      <c r="B223" s="36" t="s">
        <v>408</v>
      </c>
      <c r="C223" s="37">
        <f>171156.3+1560.3</f>
        <v>172716.59999999998</v>
      </c>
      <c r="D223" s="37">
        <f>260247.8397+3221.8</f>
        <v>263469.6397</v>
      </c>
      <c r="E223" s="37">
        <f>246382.76053+3221.8</f>
        <v>249604.56052999999</v>
      </c>
      <c r="F223" s="37">
        <v>0</v>
      </c>
      <c r="G223" s="37">
        <f>4854.73625+3.1</f>
        <v>4857.8362500000003</v>
      </c>
      <c r="H223" s="37">
        <v>2.48E-3</v>
      </c>
      <c r="I223" s="37">
        <v>590.17340999999999</v>
      </c>
      <c r="J223" s="37">
        <v>0</v>
      </c>
    </row>
    <row r="224" spans="1:21" x14ac:dyDescent="0.2">
      <c r="A224" s="35" t="s">
        <v>409</v>
      </c>
      <c r="B224" s="36" t="s">
        <v>410</v>
      </c>
      <c r="C224" s="37">
        <f>171156.3+1560.3</f>
        <v>172716.59999999998</v>
      </c>
      <c r="D224" s="37">
        <f>260247.8397+3221.8</f>
        <v>263469.6397</v>
      </c>
      <c r="E224" s="37">
        <f>246382.76053+3221.8</f>
        <v>249604.56052999999</v>
      </c>
      <c r="F224" s="37">
        <v>0</v>
      </c>
      <c r="G224" s="37">
        <f>4854.73625+3.1</f>
        <v>4857.8362500000003</v>
      </c>
      <c r="H224" s="37">
        <v>2.48E-3</v>
      </c>
      <c r="I224" s="37">
        <v>590.17340999999999</v>
      </c>
      <c r="J224" s="37">
        <v>0</v>
      </c>
    </row>
    <row r="225" spans="1:10" x14ac:dyDescent="0.2">
      <c r="A225" s="35" t="s">
        <v>411</v>
      </c>
      <c r="B225" s="36" t="s">
        <v>412</v>
      </c>
      <c r="C225" s="37">
        <f>43609.5+544.7</f>
        <v>44154.2</v>
      </c>
      <c r="D225" s="37">
        <f>48883.0491+333.3</f>
        <v>49216.349099999999</v>
      </c>
      <c r="E225" s="37">
        <f>44042.01954+333.3</f>
        <v>44375.319540000004</v>
      </c>
      <c r="F225" s="37">
        <v>0</v>
      </c>
      <c r="G225" s="37">
        <v>279.39643999999998</v>
      </c>
      <c r="H225" s="37">
        <v>0</v>
      </c>
      <c r="I225" s="37">
        <v>87.075179999999989</v>
      </c>
      <c r="J225" s="37">
        <v>0</v>
      </c>
    </row>
    <row r="226" spans="1:10" x14ac:dyDescent="0.2">
      <c r="A226" s="35" t="s">
        <v>413</v>
      </c>
      <c r="B226" s="36" t="s">
        <v>414</v>
      </c>
      <c r="C226" s="37">
        <f>43609.5+544.7</f>
        <v>44154.2</v>
      </c>
      <c r="D226" s="37">
        <f>48883.0491+333.3</f>
        <v>49216.349099999999</v>
      </c>
      <c r="E226" s="37">
        <f>44042.01954+333.3</f>
        <v>44375.319540000004</v>
      </c>
      <c r="F226" s="37">
        <v>0</v>
      </c>
      <c r="G226" s="37">
        <v>279.39643999999998</v>
      </c>
      <c r="H226" s="37">
        <v>0</v>
      </c>
      <c r="I226" s="37">
        <v>87.075179999999989</v>
      </c>
      <c r="J226" s="37">
        <v>0</v>
      </c>
    </row>
    <row r="227" spans="1:10" x14ac:dyDescent="0.2">
      <c r="A227" s="35" t="s">
        <v>415</v>
      </c>
      <c r="B227" s="36" t="s">
        <v>416</v>
      </c>
      <c r="C227" s="37">
        <f>179417.1+50</f>
        <v>179467.1</v>
      </c>
      <c r="D227" s="37">
        <f>205870.77306+38.1</f>
        <v>205908.87306000001</v>
      </c>
      <c r="E227" s="37">
        <f>184646.33332+38.1</f>
        <v>184684.43332000001</v>
      </c>
      <c r="F227" s="37">
        <v>0</v>
      </c>
      <c r="G227" s="37">
        <v>1925.6032700000001</v>
      </c>
      <c r="H227" s="37">
        <v>0</v>
      </c>
      <c r="I227" s="37">
        <v>623.84654</v>
      </c>
      <c r="J227" s="37">
        <v>0</v>
      </c>
    </row>
    <row r="228" spans="1:10" x14ac:dyDescent="0.2">
      <c r="A228" s="35" t="s">
        <v>417</v>
      </c>
      <c r="B228" s="36" t="s">
        <v>418</v>
      </c>
      <c r="C228" s="37">
        <f>179417.1+50</f>
        <v>179467.1</v>
      </c>
      <c r="D228" s="37">
        <f>205870.77306+38.1</f>
        <v>205908.87306000001</v>
      </c>
      <c r="E228" s="37">
        <f>184646.33332+38.1</f>
        <v>184684.43332000001</v>
      </c>
      <c r="F228" s="37">
        <v>0</v>
      </c>
      <c r="G228" s="37">
        <v>1925.6032700000001</v>
      </c>
      <c r="H228" s="37">
        <v>0</v>
      </c>
      <c r="I228" s="37">
        <v>623.84654</v>
      </c>
      <c r="J228" s="37">
        <v>0</v>
      </c>
    </row>
    <row r="229" spans="1:10" x14ac:dyDescent="0.2">
      <c r="A229" s="35" t="s">
        <v>419</v>
      </c>
      <c r="B229" s="36" t="s">
        <v>420</v>
      </c>
      <c r="C229" s="37">
        <f>389802.1+120</f>
        <v>389922.1</v>
      </c>
      <c r="D229" s="37">
        <f>131253.87393+107.8</f>
        <v>131361.67392999999</v>
      </c>
      <c r="E229" s="37">
        <f>98513.93463+107.8</f>
        <v>98621.734630000006</v>
      </c>
      <c r="F229" s="37">
        <v>0</v>
      </c>
      <c r="G229" s="37">
        <v>16138.954720000002</v>
      </c>
      <c r="H229" s="37">
        <v>0</v>
      </c>
      <c r="I229" s="37">
        <v>803.46414000000004</v>
      </c>
      <c r="J229" s="37">
        <v>0</v>
      </c>
    </row>
    <row r="230" spans="1:10" x14ac:dyDescent="0.2">
      <c r="A230" s="35" t="s">
        <v>421</v>
      </c>
      <c r="B230" s="36" t="s">
        <v>422</v>
      </c>
      <c r="C230" s="37">
        <f>389802.1+120</f>
        <v>389922.1</v>
      </c>
      <c r="D230" s="37">
        <f>131253.87393+107.8</f>
        <v>131361.67392999999</v>
      </c>
      <c r="E230" s="37">
        <f>98513.93463+107.8</f>
        <v>98621.734630000006</v>
      </c>
      <c r="F230" s="37">
        <v>0</v>
      </c>
      <c r="G230" s="37">
        <v>16138.954720000002</v>
      </c>
      <c r="H230" s="37">
        <v>0</v>
      </c>
      <c r="I230" s="37">
        <v>803.46414000000004</v>
      </c>
      <c r="J230" s="37">
        <v>0</v>
      </c>
    </row>
    <row r="231" spans="1:10" x14ac:dyDescent="0.2">
      <c r="A231" s="35" t="s">
        <v>423</v>
      </c>
      <c r="B231" s="36" t="s">
        <v>424</v>
      </c>
      <c r="C231" s="37">
        <v>31566.400000000001</v>
      </c>
      <c r="D231" s="37">
        <v>39931.213149999996</v>
      </c>
      <c r="E231" s="37">
        <v>33717.427100000001</v>
      </c>
      <c r="F231" s="37">
        <v>0</v>
      </c>
      <c r="G231" s="37">
        <v>7398.2129400000003</v>
      </c>
      <c r="H231" s="37">
        <v>0</v>
      </c>
      <c r="I231" s="37">
        <v>822.12347999999997</v>
      </c>
      <c r="J231" s="37">
        <v>0</v>
      </c>
    </row>
    <row r="232" spans="1:10" ht="25.5" x14ac:dyDescent="0.2">
      <c r="A232" s="35" t="s">
        <v>425</v>
      </c>
      <c r="B232" s="36" t="s">
        <v>426</v>
      </c>
      <c r="C232" s="37">
        <v>31566.400000000001</v>
      </c>
      <c r="D232" s="37">
        <v>39931.213149999996</v>
      </c>
      <c r="E232" s="37">
        <v>33717.427100000001</v>
      </c>
      <c r="F232" s="37">
        <v>0</v>
      </c>
      <c r="G232" s="37">
        <v>7398.2129400000003</v>
      </c>
      <c r="H232" s="37">
        <v>0</v>
      </c>
      <c r="I232" s="37">
        <v>822.12347999999997</v>
      </c>
      <c r="J232" s="37">
        <v>0</v>
      </c>
    </row>
    <row r="233" spans="1:10" x14ac:dyDescent="0.2">
      <c r="A233" s="35" t="s">
        <v>427</v>
      </c>
      <c r="B233" s="36" t="s">
        <v>428</v>
      </c>
      <c r="C233" s="37">
        <f>96821+382.6</f>
        <v>97203.6</v>
      </c>
      <c r="D233" s="37">
        <f>93592.22519+344.7</f>
        <v>93936.925189999994</v>
      </c>
      <c r="E233" s="37">
        <f>82952.61781+342.7</f>
        <v>83295.317809999993</v>
      </c>
      <c r="F233" s="37">
        <v>0</v>
      </c>
      <c r="G233" s="37">
        <v>436.786</v>
      </c>
      <c r="H233" s="37">
        <v>0</v>
      </c>
      <c r="I233" s="37">
        <v>235.72384</v>
      </c>
      <c r="J233" s="37">
        <v>0</v>
      </c>
    </row>
    <row r="234" spans="1:10" ht="25.5" x14ac:dyDescent="0.2">
      <c r="A234" s="35" t="s">
        <v>429</v>
      </c>
      <c r="B234" s="36" t="s">
        <v>430</v>
      </c>
      <c r="C234" s="37">
        <f>96821+382.6</f>
        <v>97203.6</v>
      </c>
      <c r="D234" s="37">
        <f>93592.22519+344.7</f>
        <v>93936.925189999994</v>
      </c>
      <c r="E234" s="37">
        <f>82952.61781+342.7</f>
        <v>83295.317809999993</v>
      </c>
      <c r="F234" s="37">
        <v>0</v>
      </c>
      <c r="G234" s="37">
        <v>436.786</v>
      </c>
      <c r="H234" s="37">
        <v>0</v>
      </c>
      <c r="I234" s="37">
        <v>235.72384</v>
      </c>
      <c r="J234" s="37">
        <v>0</v>
      </c>
    </row>
    <row r="235" spans="1:10" x14ac:dyDescent="0.2">
      <c r="A235" s="35" t="s">
        <v>431</v>
      </c>
      <c r="B235" s="36" t="s">
        <v>432</v>
      </c>
      <c r="C235" s="37">
        <f>33856.7+240</f>
        <v>34096.699999999997</v>
      </c>
      <c r="D235" s="37">
        <f>38805.65988+114.8</f>
        <v>38920.459880000002</v>
      </c>
      <c r="E235" s="37">
        <f>34414.66511+114.8</f>
        <v>34529.465110000005</v>
      </c>
      <c r="F235" s="37">
        <v>0</v>
      </c>
      <c r="G235" s="37">
        <v>256.27181999999999</v>
      </c>
      <c r="H235" s="37">
        <v>0</v>
      </c>
      <c r="I235" s="37">
        <v>232.45928000000001</v>
      </c>
      <c r="J235" s="37">
        <v>0</v>
      </c>
    </row>
    <row r="236" spans="1:10" x14ac:dyDescent="0.2">
      <c r="A236" s="35" t="s">
        <v>433</v>
      </c>
      <c r="B236" s="36" t="s">
        <v>434</v>
      </c>
      <c r="C236" s="37">
        <f>33856.7+240</f>
        <v>34096.699999999997</v>
      </c>
      <c r="D236" s="37">
        <f>38805.65988+114.8</f>
        <v>38920.459880000002</v>
      </c>
      <c r="E236" s="37">
        <f>34414.66511+114.8</f>
        <v>34529.465110000005</v>
      </c>
      <c r="F236" s="37">
        <v>0</v>
      </c>
      <c r="G236" s="37">
        <v>256.27181999999999</v>
      </c>
      <c r="H236" s="37">
        <v>0</v>
      </c>
      <c r="I236" s="37">
        <v>232.45928000000001</v>
      </c>
      <c r="J236" s="37">
        <v>0</v>
      </c>
    </row>
    <row r="237" spans="1:10" x14ac:dyDescent="0.2">
      <c r="A237" s="35" t="s">
        <v>435</v>
      </c>
      <c r="B237" s="36" t="s">
        <v>436</v>
      </c>
      <c r="C237" s="37">
        <f>88328.3+3500</f>
        <v>91828.3</v>
      </c>
      <c r="D237" s="37">
        <f>118906.59871+2520.8</f>
        <v>121427.39871000001</v>
      </c>
      <c r="E237" s="37">
        <f>115041.72085+2520.8</f>
        <v>117562.52085</v>
      </c>
      <c r="F237" s="37">
        <v>0</v>
      </c>
      <c r="G237" s="37">
        <v>6014.0543399999997</v>
      </c>
      <c r="H237" s="37">
        <v>0</v>
      </c>
      <c r="I237" s="37">
        <v>83.659809999999993</v>
      </c>
      <c r="J237" s="37">
        <v>0</v>
      </c>
    </row>
    <row r="238" spans="1:10" x14ac:dyDescent="0.2">
      <c r="A238" s="35" t="s">
        <v>437</v>
      </c>
      <c r="B238" s="36" t="s">
        <v>438</v>
      </c>
      <c r="C238" s="37">
        <f>88328.3+3500</f>
        <v>91828.3</v>
      </c>
      <c r="D238" s="37">
        <f>118906.59871+2520.8</f>
        <v>121427.39871000001</v>
      </c>
      <c r="E238" s="37">
        <f>115041.72085+2520.8</f>
        <v>117562.52085</v>
      </c>
      <c r="F238" s="37">
        <v>0</v>
      </c>
      <c r="G238" s="37">
        <v>344.84608000000003</v>
      </c>
      <c r="H238" s="37">
        <v>0</v>
      </c>
      <c r="I238" s="37">
        <v>83.659809999999993</v>
      </c>
      <c r="J238" s="37">
        <v>0</v>
      </c>
    </row>
    <row r="239" spans="1:10" x14ac:dyDescent="0.2">
      <c r="A239" s="35" t="s">
        <v>439</v>
      </c>
      <c r="B239" s="36" t="s">
        <v>440</v>
      </c>
      <c r="C239" s="37">
        <v>0</v>
      </c>
      <c r="D239" s="37">
        <v>0</v>
      </c>
      <c r="E239" s="37">
        <v>0</v>
      </c>
      <c r="F239" s="37">
        <v>0</v>
      </c>
      <c r="G239" s="37">
        <v>0.73111999999999999</v>
      </c>
      <c r="H239" s="37">
        <v>0</v>
      </c>
      <c r="I239" s="37">
        <v>0</v>
      </c>
      <c r="J239" s="37">
        <v>0</v>
      </c>
    </row>
    <row r="240" spans="1:10" x14ac:dyDescent="0.2">
      <c r="A240" s="35" t="s">
        <v>441</v>
      </c>
      <c r="B240" s="36" t="s">
        <v>442</v>
      </c>
      <c r="C240" s="37">
        <v>0</v>
      </c>
      <c r="D240" s="37">
        <v>0</v>
      </c>
      <c r="E240" s="37">
        <v>0</v>
      </c>
      <c r="F240" s="37">
        <v>0</v>
      </c>
      <c r="G240" s="37">
        <v>4949.9070300000003</v>
      </c>
      <c r="H240" s="37">
        <v>0</v>
      </c>
      <c r="I240" s="37">
        <v>0</v>
      </c>
      <c r="J240" s="37">
        <v>0</v>
      </c>
    </row>
    <row r="241" spans="1:21" ht="25.5" x14ac:dyDescent="0.2">
      <c r="A241" s="35" t="s">
        <v>443</v>
      </c>
      <c r="B241" s="36" t="s">
        <v>444</v>
      </c>
      <c r="C241" s="37">
        <v>0</v>
      </c>
      <c r="D241" s="37">
        <v>0</v>
      </c>
      <c r="E241" s="37">
        <v>0</v>
      </c>
      <c r="F241" s="37">
        <v>0</v>
      </c>
      <c r="G241" s="37">
        <v>718.57011</v>
      </c>
      <c r="H241" s="37">
        <v>0</v>
      </c>
      <c r="I241" s="37">
        <v>0</v>
      </c>
      <c r="J241" s="37">
        <v>0</v>
      </c>
    </row>
    <row r="242" spans="1:21" x14ac:dyDescent="0.2">
      <c r="A242" s="35" t="s">
        <v>445</v>
      </c>
      <c r="B242" s="36" t="s">
        <v>446</v>
      </c>
      <c r="C242" s="37">
        <f>149301.9+2012+292700</f>
        <v>444013.9</v>
      </c>
      <c r="D242" s="37">
        <f>128333.58878+1136.8+551571.5</f>
        <v>681041.88878000004</v>
      </c>
      <c r="E242" s="37">
        <f>116131.83644+1049.1+549509.9</f>
        <v>666690.83643999998</v>
      </c>
      <c r="F242" s="37">
        <v>0</v>
      </c>
      <c r="G242" s="37">
        <v>30823.1</v>
      </c>
      <c r="H242" s="37">
        <v>0</v>
      </c>
      <c r="I242" s="37">
        <v>104989.7</v>
      </c>
      <c r="J242" s="37">
        <v>0</v>
      </c>
      <c r="L242" s="32"/>
      <c r="M242" s="32"/>
      <c r="N242" s="32"/>
      <c r="O242" s="32"/>
      <c r="P242" s="32"/>
      <c r="Q242" s="32"/>
      <c r="R242" s="32"/>
      <c r="S242" s="32"/>
      <c r="T242" s="32"/>
      <c r="U242" s="32"/>
    </row>
    <row r="243" spans="1:21" x14ac:dyDescent="0.2">
      <c r="A243" s="35" t="s">
        <v>447</v>
      </c>
      <c r="B243" s="36" t="s">
        <v>448</v>
      </c>
      <c r="C243" s="37">
        <f>149301.9+2012+292700</f>
        <v>444013.9</v>
      </c>
      <c r="D243" s="37">
        <f>128333.58878+1136.8+551571.5</f>
        <v>681041.88878000004</v>
      </c>
      <c r="E243" s="37">
        <f>116131.83644+1049.1+549509.9</f>
        <v>666690.83643999998</v>
      </c>
      <c r="F243" s="37">
        <v>0</v>
      </c>
      <c r="G243" s="37">
        <v>30823.1</v>
      </c>
      <c r="H243" s="37">
        <v>0</v>
      </c>
      <c r="I243" s="37">
        <v>104989.7</v>
      </c>
      <c r="J243" s="37">
        <v>0</v>
      </c>
    </row>
    <row r="244" spans="1:21" s="20" customFormat="1" x14ac:dyDescent="0.2">
      <c r="A244" s="29" t="s">
        <v>449</v>
      </c>
      <c r="B244" s="30">
        <v>34</v>
      </c>
      <c r="C244" s="31">
        <f>C245+C247</f>
        <v>-4531.1000000000004</v>
      </c>
      <c r="D244" s="31">
        <f t="shared" ref="D244:J244" si="15">D245+D247</f>
        <v>-4645.7</v>
      </c>
      <c r="E244" s="31">
        <f t="shared" si="15"/>
        <v>-5467.9765099999995</v>
      </c>
      <c r="F244" s="31">
        <f t="shared" si="15"/>
        <v>0</v>
      </c>
      <c r="G244" s="31">
        <f t="shared" si="15"/>
        <v>3673.7545</v>
      </c>
      <c r="H244" s="31">
        <f t="shared" si="15"/>
        <v>0</v>
      </c>
      <c r="I244" s="31">
        <f t="shared" si="15"/>
        <v>0</v>
      </c>
      <c r="J244" s="31">
        <f t="shared" si="15"/>
        <v>0</v>
      </c>
    </row>
    <row r="245" spans="1:21" x14ac:dyDescent="0.2">
      <c r="A245" s="35" t="s">
        <v>450</v>
      </c>
      <c r="B245" s="36" t="s">
        <v>451</v>
      </c>
      <c r="C245" s="37">
        <v>268.89999999999998</v>
      </c>
      <c r="D245" s="37">
        <v>154.30000000000001</v>
      </c>
      <c r="E245" s="37">
        <v>154.28858</v>
      </c>
      <c r="F245" s="37">
        <v>0</v>
      </c>
      <c r="G245" s="37">
        <v>0</v>
      </c>
      <c r="H245" s="37">
        <v>0</v>
      </c>
      <c r="I245" s="37">
        <v>0</v>
      </c>
      <c r="J245" s="37">
        <v>0</v>
      </c>
    </row>
    <row r="246" spans="1:21" x14ac:dyDescent="0.2">
      <c r="A246" s="35" t="s">
        <v>452</v>
      </c>
      <c r="B246" s="36" t="s">
        <v>453</v>
      </c>
      <c r="C246" s="37">
        <v>268.89999999999998</v>
      </c>
      <c r="D246" s="37">
        <v>154.30000000000001</v>
      </c>
      <c r="E246" s="37">
        <v>154.28858</v>
      </c>
      <c r="F246" s="37">
        <v>0</v>
      </c>
      <c r="G246" s="37">
        <v>0</v>
      </c>
      <c r="H246" s="37">
        <v>0</v>
      </c>
      <c r="I246" s="37">
        <v>0</v>
      </c>
      <c r="J246" s="37">
        <v>0</v>
      </c>
    </row>
    <row r="247" spans="1:21" x14ac:dyDescent="0.2">
      <c r="A247" s="35" t="s">
        <v>449</v>
      </c>
      <c r="B247" s="36" t="s">
        <v>454</v>
      </c>
      <c r="C247" s="37">
        <v>-4800</v>
      </c>
      <c r="D247" s="37">
        <v>-4800</v>
      </c>
      <c r="E247" s="37">
        <v>-5622.2650899999999</v>
      </c>
      <c r="F247" s="37">
        <v>0</v>
      </c>
      <c r="G247" s="37">
        <v>3673.7545</v>
      </c>
      <c r="H247" s="37">
        <v>0</v>
      </c>
      <c r="I247" s="37">
        <v>0</v>
      </c>
      <c r="J247" s="37">
        <v>0</v>
      </c>
    </row>
    <row r="248" spans="1:21" ht="21" customHeight="1" x14ac:dyDescent="0.2">
      <c r="A248" s="35" t="s">
        <v>455</v>
      </c>
      <c r="B248" s="36" t="s">
        <v>456</v>
      </c>
      <c r="C248" s="37">
        <v>-4800</v>
      </c>
      <c r="D248" s="37">
        <v>-4800</v>
      </c>
      <c r="E248" s="37">
        <v>-5622.2650899999999</v>
      </c>
      <c r="F248" s="37">
        <v>0</v>
      </c>
      <c r="G248" s="37">
        <v>3673.7545</v>
      </c>
      <c r="H248" s="37">
        <v>0</v>
      </c>
      <c r="I248" s="37">
        <v>0</v>
      </c>
      <c r="J248" s="37">
        <v>0</v>
      </c>
    </row>
    <row r="249" spans="1:21" s="20" customFormat="1" x14ac:dyDescent="0.2">
      <c r="A249" s="29" t="s">
        <v>457</v>
      </c>
      <c r="B249" s="30">
        <v>35</v>
      </c>
      <c r="C249" s="31">
        <f>C250</f>
        <v>18080.400000000001</v>
      </c>
      <c r="D249" s="31">
        <f t="shared" ref="D249:J249" si="16">D250</f>
        <v>17441.407999999999</v>
      </c>
      <c r="E249" s="31">
        <f t="shared" si="16"/>
        <v>10164.283240000001</v>
      </c>
      <c r="F249" s="31">
        <f t="shared" si="16"/>
        <v>0</v>
      </c>
      <c r="G249" s="31">
        <f t="shared" si="16"/>
        <v>15.644</v>
      </c>
      <c r="H249" s="31">
        <f t="shared" si="16"/>
        <v>0</v>
      </c>
      <c r="I249" s="31">
        <f t="shared" si="16"/>
        <v>96.076809999999995</v>
      </c>
      <c r="J249" s="31">
        <f t="shared" si="16"/>
        <v>0</v>
      </c>
    </row>
    <row r="250" spans="1:21" x14ac:dyDescent="0.2">
      <c r="A250" s="35" t="s">
        <v>457</v>
      </c>
      <c r="B250" s="36" t="s">
        <v>458</v>
      </c>
      <c r="C250" s="37">
        <v>18080.400000000001</v>
      </c>
      <c r="D250" s="37">
        <v>17441.407999999999</v>
      </c>
      <c r="E250" s="37">
        <v>10164.283240000001</v>
      </c>
      <c r="F250" s="37">
        <v>0</v>
      </c>
      <c r="G250" s="37">
        <v>15.644</v>
      </c>
      <c r="H250" s="37">
        <v>0</v>
      </c>
      <c r="I250" s="37">
        <v>96.076809999999995</v>
      </c>
      <c r="J250" s="37">
        <v>0</v>
      </c>
    </row>
    <row r="251" spans="1:21" x14ac:dyDescent="0.2">
      <c r="A251" s="35" t="s">
        <v>459</v>
      </c>
      <c r="B251" s="36" t="s">
        <v>460</v>
      </c>
      <c r="C251" s="37">
        <v>18080.400000000001</v>
      </c>
      <c r="D251" s="37">
        <v>17441.407999999999</v>
      </c>
      <c r="E251" s="37">
        <v>10164.283240000001</v>
      </c>
      <c r="F251" s="37">
        <v>0</v>
      </c>
      <c r="G251" s="37">
        <v>15.644</v>
      </c>
      <c r="H251" s="37">
        <v>0</v>
      </c>
      <c r="I251" s="37">
        <v>96.076809999999995</v>
      </c>
      <c r="J251" s="37">
        <v>0</v>
      </c>
    </row>
    <row r="252" spans="1:21" s="20" customFormat="1" x14ac:dyDescent="0.2">
      <c r="A252" s="29" t="s">
        <v>461</v>
      </c>
      <c r="B252" s="30">
        <v>36</v>
      </c>
      <c r="C252" s="31">
        <f>C253</f>
        <v>60</v>
      </c>
      <c r="D252" s="31">
        <f t="shared" ref="D252:J252" si="17">D253</f>
        <v>60</v>
      </c>
      <c r="E252" s="31">
        <f t="shared" si="17"/>
        <v>58.607250000000001</v>
      </c>
      <c r="F252" s="31">
        <f t="shared" si="17"/>
        <v>0</v>
      </c>
      <c r="G252" s="31">
        <f t="shared" si="17"/>
        <v>0</v>
      </c>
      <c r="H252" s="31">
        <f t="shared" si="17"/>
        <v>0</v>
      </c>
      <c r="I252" s="31">
        <f t="shared" si="17"/>
        <v>0</v>
      </c>
      <c r="J252" s="31">
        <f t="shared" si="17"/>
        <v>0</v>
      </c>
    </row>
    <row r="253" spans="1:21" x14ac:dyDescent="0.2">
      <c r="A253" s="35" t="s">
        <v>462</v>
      </c>
      <c r="B253" s="36" t="s">
        <v>463</v>
      </c>
      <c r="C253" s="37">
        <v>60</v>
      </c>
      <c r="D253" s="37">
        <v>60</v>
      </c>
      <c r="E253" s="37">
        <v>58.607250000000001</v>
      </c>
      <c r="F253" s="37">
        <v>0</v>
      </c>
      <c r="G253" s="37">
        <v>0</v>
      </c>
      <c r="H253" s="37">
        <v>0</v>
      </c>
      <c r="I253" s="37">
        <v>0</v>
      </c>
      <c r="J253" s="37">
        <v>0</v>
      </c>
    </row>
    <row r="254" spans="1:21" x14ac:dyDescent="0.2">
      <c r="A254" s="35" t="s">
        <v>464</v>
      </c>
      <c r="B254" s="36" t="s">
        <v>465</v>
      </c>
      <c r="C254" s="37">
        <v>60</v>
      </c>
      <c r="D254" s="37">
        <v>60</v>
      </c>
      <c r="E254" s="37">
        <v>58.607250000000001</v>
      </c>
      <c r="F254" s="37">
        <v>0</v>
      </c>
      <c r="G254" s="37">
        <v>0</v>
      </c>
      <c r="H254" s="37">
        <v>0</v>
      </c>
      <c r="I254" s="37">
        <v>0</v>
      </c>
      <c r="J254" s="37">
        <v>0</v>
      </c>
    </row>
    <row r="255" spans="1:21" ht="22.5" customHeight="1" x14ac:dyDescent="0.2"/>
    <row r="256" spans="1:21" ht="127.5" x14ac:dyDescent="0.2">
      <c r="A256" s="1" t="s">
        <v>466</v>
      </c>
      <c r="E256" s="41" t="s">
        <v>467</v>
      </c>
      <c r="F256" s="41"/>
      <c r="G256" s="41"/>
    </row>
  </sheetData>
  <mergeCells count="17">
    <mergeCell ref="G13:G15"/>
    <mergeCell ref="H13:H15"/>
    <mergeCell ref="I13:I15"/>
    <mergeCell ref="J13:J15"/>
    <mergeCell ref="E256:G256"/>
    <mergeCell ref="A13:A15"/>
    <mergeCell ref="B13:B15"/>
    <mergeCell ref="C13:C15"/>
    <mergeCell ref="D13:D15"/>
    <mergeCell ref="E13:E15"/>
    <mergeCell ref="F13:F15"/>
    <mergeCell ref="I3:J3"/>
    <mergeCell ref="G4:J4"/>
    <mergeCell ref="H5:J5"/>
    <mergeCell ref="A8:J8"/>
    <mergeCell ref="A9:J9"/>
    <mergeCell ref="A10:J1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Foaie1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2023-04-13T13:18:53Z</dcterms:modified>
</cp:coreProperties>
</file>